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he_g\Desktop\"/>
    </mc:Choice>
  </mc:AlternateContent>
  <xr:revisionPtr revIDLastSave="0" documentId="13_ncr:1_{54E47DF5-EA56-4C4B-8276-035B3D353AD2}" xr6:coauthVersionLast="47" xr6:coauthVersionMax="47" xr10:uidLastSave="{00000000-0000-0000-0000-000000000000}"/>
  <bookViews>
    <workbookView xWindow="4030" yWindow="3590" windowWidth="19200" windowHeight="10160" tabRatio="489" activeTab="1" xr2:uid="{00000000-000D-0000-FFFF-FFFF00000000}"/>
  </bookViews>
  <sheets>
    <sheet name="Bag" sheetId="12" r:id="rId1"/>
    <sheet name="Gear" sheetId="7" r:id="rId2"/>
    <sheet name="Calculator" sheetId="8" r:id="rId3"/>
    <sheet name="Day 1" sheetId="2" r:id="rId4"/>
    <sheet name="Daytrip" sheetId="9" r:id="rId5"/>
    <sheet name="Bikepack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H58" i="2"/>
  <c r="E43" i="2"/>
  <c r="C43" i="2"/>
  <c r="E44" i="2"/>
  <c r="H50" i="2" l="1"/>
  <c r="G50" i="2"/>
  <c r="F50" i="2"/>
  <c r="E50" i="2"/>
  <c r="D50" i="2"/>
  <c r="C50" i="2"/>
  <c r="H55" i="2" l="1"/>
  <c r="G55" i="2"/>
  <c r="F55" i="2"/>
  <c r="E55" i="2"/>
  <c r="D55" i="2"/>
  <c r="C55" i="2"/>
  <c r="H54" i="2"/>
  <c r="G54" i="2"/>
  <c r="F54" i="2"/>
  <c r="E54" i="2"/>
  <c r="D54" i="2"/>
  <c r="C54" i="2"/>
  <c r="H49" i="2"/>
  <c r="G49" i="2"/>
  <c r="F49" i="2"/>
  <c r="E49" i="2"/>
  <c r="D49" i="2"/>
  <c r="C49" i="2"/>
  <c r="H48" i="2"/>
  <c r="G48" i="2"/>
  <c r="F48" i="2"/>
  <c r="E48" i="2"/>
  <c r="D48" i="2"/>
  <c r="C48" i="2"/>
  <c r="H47" i="2"/>
  <c r="G47" i="2"/>
  <c r="F47" i="2"/>
  <c r="E47" i="2"/>
  <c r="D47" i="2"/>
  <c r="C47" i="2"/>
  <c r="H46" i="2"/>
  <c r="G46" i="2"/>
  <c r="F46" i="2"/>
  <c r="E46" i="2"/>
  <c r="D46" i="2"/>
  <c r="C46" i="2"/>
  <c r="H56" i="2"/>
  <c r="G56" i="2"/>
  <c r="F56" i="2"/>
  <c r="E56" i="2"/>
  <c r="D56" i="2"/>
  <c r="C56" i="2"/>
  <c r="B15" i="8" l="1"/>
  <c r="E12" i="8"/>
  <c r="D12" i="8"/>
  <c r="B12" i="8"/>
  <c r="G12" i="8" s="1"/>
  <c r="B8" i="8"/>
  <c r="B5" i="8" s="1"/>
  <c r="C59" i="2" s="1"/>
  <c r="E5" i="8"/>
  <c r="F59" i="2" s="1"/>
  <c r="D5" i="8"/>
  <c r="E59" i="2" s="1"/>
  <c r="H29" i="2"/>
  <c r="G29" i="2"/>
  <c r="F29" i="2"/>
  <c r="E29" i="2"/>
  <c r="D29" i="2"/>
  <c r="C29" i="2"/>
  <c r="H21" i="2"/>
  <c r="G21" i="2"/>
  <c r="F21" i="2"/>
  <c r="E21" i="2"/>
  <c r="D21" i="2"/>
  <c r="C21" i="2"/>
  <c r="H13" i="2"/>
  <c r="G13" i="2"/>
  <c r="F13" i="2"/>
  <c r="E13" i="2"/>
  <c r="D13" i="2"/>
  <c r="C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G25" i="2"/>
  <c r="F25" i="2"/>
  <c r="E25" i="2"/>
  <c r="D25" i="2"/>
  <c r="C25" i="2"/>
  <c r="H7" i="2"/>
  <c r="G7" i="2"/>
  <c r="F7" i="2"/>
  <c r="E7" i="2"/>
  <c r="D7" i="2"/>
  <c r="C7" i="2"/>
  <c r="H45" i="2"/>
  <c r="G45" i="2"/>
  <c r="F45" i="2"/>
  <c r="E45" i="2"/>
  <c r="D45" i="2"/>
  <c r="C45" i="2"/>
  <c r="H38" i="2"/>
  <c r="G38" i="2"/>
  <c r="F38" i="2"/>
  <c r="E38" i="2"/>
  <c r="D38" i="2"/>
  <c r="C38" i="2"/>
  <c r="H53" i="2"/>
  <c r="G53" i="2"/>
  <c r="F53" i="2"/>
  <c r="E53" i="2"/>
  <c r="D53" i="2"/>
  <c r="C53" i="2"/>
  <c r="H42" i="2"/>
  <c r="G42" i="2"/>
  <c r="F42" i="2"/>
  <c r="E42" i="2"/>
  <c r="D42" i="2"/>
  <c r="C42" i="2"/>
  <c r="H41" i="2"/>
  <c r="G41" i="2"/>
  <c r="F41" i="2"/>
  <c r="E41" i="2"/>
  <c r="D41" i="2"/>
  <c r="C41" i="2"/>
  <c r="H37" i="2"/>
  <c r="G37" i="2"/>
  <c r="F37" i="2"/>
  <c r="E37" i="2"/>
  <c r="D37" i="2"/>
  <c r="C37" i="2"/>
  <c r="H36" i="2"/>
  <c r="G36" i="2"/>
  <c r="F36" i="2"/>
  <c r="E36" i="2"/>
  <c r="E58" i="2" s="1"/>
  <c r="D36" i="2"/>
  <c r="C36" i="2"/>
  <c r="H31" i="2"/>
  <c r="G31" i="2"/>
  <c r="F31" i="2"/>
  <c r="E31" i="2"/>
  <c r="D31" i="2"/>
  <c r="C31" i="2"/>
  <c r="E30" i="2"/>
  <c r="D30" i="2"/>
  <c r="G30" i="2"/>
  <c r="H30" i="2"/>
  <c r="F30" i="2"/>
  <c r="C30" i="2"/>
  <c r="E28" i="2"/>
  <c r="E27" i="2"/>
  <c r="C27" i="2"/>
  <c r="H17" i="2"/>
  <c r="G17" i="2"/>
  <c r="F17" i="2"/>
  <c r="E17" i="2"/>
  <c r="D17" i="2"/>
  <c r="C17" i="2"/>
  <c r="H5" i="2"/>
  <c r="G5" i="2"/>
  <c r="F5" i="2"/>
  <c r="E5" i="2"/>
  <c r="D5" i="2"/>
  <c r="C5" i="2"/>
  <c r="H19" i="2"/>
  <c r="G19" i="2"/>
  <c r="F19" i="2"/>
  <c r="E19" i="2"/>
  <c r="D19" i="2"/>
  <c r="C19" i="2"/>
  <c r="H25" i="2"/>
  <c r="H26" i="2"/>
  <c r="G26" i="2"/>
  <c r="F26" i="2"/>
  <c r="E26" i="2"/>
  <c r="D26" i="2"/>
  <c r="C26" i="2"/>
  <c r="H24" i="2"/>
  <c r="G24" i="2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0" i="2"/>
  <c r="G20" i="2"/>
  <c r="F20" i="2"/>
  <c r="E20" i="2"/>
  <c r="D20" i="2"/>
  <c r="C20" i="2"/>
  <c r="H18" i="2"/>
  <c r="G18" i="2"/>
  <c r="F18" i="2"/>
  <c r="E18" i="2"/>
  <c r="C18" i="2"/>
  <c r="D18" i="2"/>
  <c r="H16" i="2"/>
  <c r="G16" i="2"/>
  <c r="F16" i="2"/>
  <c r="E16" i="2"/>
  <c r="D16" i="2"/>
  <c r="C16" i="2"/>
  <c r="C15" i="2"/>
  <c r="H15" i="2"/>
  <c r="G15" i="2"/>
  <c r="F15" i="2"/>
  <c r="E15" i="2"/>
  <c r="D15" i="2"/>
  <c r="H14" i="2"/>
  <c r="G14" i="2"/>
  <c r="F14" i="2"/>
  <c r="E14" i="2"/>
  <c r="D14" i="2"/>
  <c r="C14" i="2"/>
  <c r="G8" i="2"/>
  <c r="F8" i="2"/>
  <c r="E8" i="2"/>
  <c r="D8" i="2"/>
  <c r="C8" i="2"/>
  <c r="H8" i="2"/>
  <c r="H6" i="2"/>
  <c r="H4" i="2"/>
  <c r="H3" i="2"/>
  <c r="G6" i="2"/>
  <c r="F6" i="2"/>
  <c r="E6" i="2"/>
  <c r="D6" i="2"/>
  <c r="C6" i="2"/>
  <c r="G4" i="2"/>
  <c r="F4" i="2"/>
  <c r="E4" i="2"/>
  <c r="D4" i="2"/>
  <c r="C4" i="2"/>
  <c r="G3" i="2"/>
  <c r="F3" i="2"/>
  <c r="E3" i="2"/>
  <c r="D3" i="2"/>
  <c r="C3" i="2"/>
  <c r="C58" i="2" l="1"/>
  <c r="D58" i="2"/>
  <c r="F58" i="2"/>
  <c r="C5" i="8"/>
  <c r="D59" i="2" s="1"/>
  <c r="G5" i="8"/>
  <c r="C12" i="8"/>
</calcChain>
</file>

<file path=xl/sharedStrings.xml><?xml version="1.0" encoding="utf-8"?>
<sst xmlns="http://schemas.openxmlformats.org/spreadsheetml/2006/main" count="262" uniqueCount="204">
  <si>
    <t>Calories</t>
  </si>
  <si>
    <t>Carbs</t>
  </si>
  <si>
    <t>Fat</t>
  </si>
  <si>
    <t>Protein</t>
  </si>
  <si>
    <t>Daily Nutritional Goals</t>
  </si>
  <si>
    <t>Water Intake (Gallons)</t>
  </si>
  <si>
    <t>Height in Inches</t>
  </si>
  <si>
    <t>Resting Energy</t>
  </si>
  <si>
    <t>Age</t>
  </si>
  <si>
    <t>Females</t>
  </si>
  <si>
    <t>Food</t>
  </si>
  <si>
    <t>Total</t>
  </si>
  <si>
    <t>Quantity</t>
  </si>
  <si>
    <t>Sodium</t>
  </si>
  <si>
    <t>Augason Scrambled Egg - 2 Tbsp = 1 egg</t>
  </si>
  <si>
    <t>1 Packet Quaker Oatmeal</t>
  </si>
  <si>
    <t>Cliff Bar</t>
  </si>
  <si>
    <t>Fiber</t>
  </si>
  <si>
    <t>1/4 of 4oz Pack Idahoan Potatoes</t>
  </si>
  <si>
    <t>1/2 of 4oz Pack Knorr Pasta</t>
  </si>
  <si>
    <t>1/2 of 5.5oz Pack Knorr Rice</t>
  </si>
  <si>
    <t>1/6 of 6oz Mexicali Rose Inst. Refried Beans</t>
  </si>
  <si>
    <t>1/8 of 9oz Bear Creek Veg Beef Soup</t>
  </si>
  <si>
    <t>1/6 of 6oz Great Value Chicken Stuffing</t>
  </si>
  <si>
    <t>1 2.6oz Pack Tuna Creations</t>
  </si>
  <si>
    <t>1/2 Can Great Value Corned Beef Hash</t>
  </si>
  <si>
    <t>1/2 Cup Instant White Rice</t>
  </si>
  <si>
    <t>1/2 Cup Hungry Jack Pancake Mix</t>
  </si>
  <si>
    <t>1 Pack Ramen Noodles</t>
  </si>
  <si>
    <t>3 Scoops Real Gains Weight Gainer</t>
  </si>
  <si>
    <t>Males</t>
  </si>
  <si>
    <t>1 2.6oz Great Value White Chicken Pouch</t>
  </si>
  <si>
    <t>1/3 Cup NearEast Couscous</t>
  </si>
  <si>
    <t>1oz Great Value Beef Jerky</t>
  </si>
  <si>
    <t>1 Scoop Optimum Cassein Protein</t>
  </si>
  <si>
    <t>2 Tbsp Peanut Butter</t>
  </si>
  <si>
    <t>2 Tbsp Strawberry Jam</t>
  </si>
  <si>
    <t>2 Mission Street Tacos Tortillas</t>
  </si>
  <si>
    <t>1 Pack Quaker Breakfast Flats</t>
  </si>
  <si>
    <t>1 Kashi Honey Almond Flax Bar</t>
  </si>
  <si>
    <t>1 Fiber One Bar</t>
  </si>
  <si>
    <t>1 Kashi Chocolate Almond Butter Cookie</t>
  </si>
  <si>
    <t>1 Cliff Bar</t>
  </si>
  <si>
    <t>Augason Scrambled Egg: 2 Tbsp = 1 egg</t>
  </si>
  <si>
    <t>6 Triscuits</t>
  </si>
  <si>
    <t>Anti-Chafe</t>
  </si>
  <si>
    <t>Pen / Paper</t>
  </si>
  <si>
    <t>Permethrin (Beforehand)</t>
  </si>
  <si>
    <t>Batteries</t>
  </si>
  <si>
    <t>Pillow Case / Sleep Mat</t>
  </si>
  <si>
    <t>Bear Mace</t>
  </si>
  <si>
    <t>Pocket Knife</t>
  </si>
  <si>
    <t>Bug Spray  / Sunscreen</t>
  </si>
  <si>
    <t>Can Opener</t>
  </si>
  <si>
    <t>Sew Kit</t>
  </si>
  <si>
    <t>Charging Battery</t>
  </si>
  <si>
    <t>Shovel</t>
  </si>
  <si>
    <t>Clothing</t>
  </si>
  <si>
    <t>Sleeping Bag / Liner</t>
  </si>
  <si>
    <t>Collapsible Water Jugs</t>
  </si>
  <si>
    <t>Contacts / Eye Drops</t>
  </si>
  <si>
    <t>Speaker / Music</t>
  </si>
  <si>
    <t xml:space="preserve">Tarp </t>
  </si>
  <si>
    <t>Daypack</t>
  </si>
  <si>
    <t>Tent /  Extra Stakes / Footprint</t>
  </si>
  <si>
    <t>Duct Tape</t>
  </si>
  <si>
    <t>Thumb Drive for Apocalypse</t>
  </si>
  <si>
    <t>Fishing Gear</t>
  </si>
  <si>
    <t>Toothbrush / Paste / Flossers</t>
  </si>
  <si>
    <t>Gloves</t>
  </si>
  <si>
    <t>Tylenol / Ibprofen / Allergy / Caffeine</t>
  </si>
  <si>
    <t>Hammock</t>
  </si>
  <si>
    <t>Whistle</t>
  </si>
  <si>
    <t>Body Weight (Goal) in Pounds</t>
  </si>
  <si>
    <t>Offset</t>
  </si>
  <si>
    <t xml:space="preserve"> </t>
  </si>
  <si>
    <t>Increase offset to add more</t>
  </si>
  <si>
    <t>calories or vice versa</t>
  </si>
  <si>
    <t>GoldenEraBodybuilding.com</t>
  </si>
  <si>
    <t>Target</t>
  </si>
  <si>
    <t>Daytime / Snacks</t>
  </si>
  <si>
    <t>Breakfast</t>
  </si>
  <si>
    <t>Dinner</t>
  </si>
  <si>
    <t>Also check out dehydrated meals</t>
  </si>
  <si>
    <t>Cooking Equipment / Utensils x2</t>
  </si>
  <si>
    <r>
      <t xml:space="preserve">First Aid / Moleskin / </t>
    </r>
    <r>
      <rPr>
        <sz val="10"/>
        <rFont val="Arial"/>
        <family val="2"/>
      </rPr>
      <t>Em. Blanket</t>
    </r>
  </si>
  <si>
    <t>Eye Glasses / Lens Wipes</t>
  </si>
  <si>
    <r>
      <rPr>
        <b/>
        <sz val="10"/>
        <rFont val="Arial"/>
        <family val="2"/>
      </rPr>
      <t>Poncho</t>
    </r>
    <r>
      <rPr>
        <sz val="10"/>
        <rFont val="Arial"/>
        <family val="2"/>
      </rPr>
      <t xml:space="preserve"> / Rain Cover</t>
    </r>
  </si>
  <si>
    <r>
      <t xml:space="preserve">Rope / </t>
    </r>
    <r>
      <rPr>
        <b/>
        <sz val="10"/>
        <rFont val="Arial"/>
        <family val="2"/>
      </rPr>
      <t>Paracord</t>
    </r>
    <r>
      <rPr>
        <sz val="10"/>
        <rFont val="Arial"/>
        <family val="2"/>
      </rPr>
      <t xml:space="preserve"> / Twine</t>
    </r>
  </si>
  <si>
    <r>
      <rPr>
        <b/>
        <sz val="10"/>
        <rFont val="Arial"/>
        <family val="2"/>
      </rPr>
      <t>Soap (Bio)</t>
    </r>
    <r>
      <rPr>
        <sz val="10"/>
        <rFont val="Arial"/>
        <family val="2"/>
      </rPr>
      <t xml:space="preserve"> / </t>
    </r>
    <r>
      <rPr>
        <b/>
        <sz val="10"/>
        <rFont val="Arial"/>
        <family val="2"/>
      </rPr>
      <t>Sponge / Hand Sanitizer</t>
    </r>
  </si>
  <si>
    <t>Tin Foil / Fillet Knife (if fishing)</t>
  </si>
  <si>
    <t>Food / Protein Powder</t>
  </si>
  <si>
    <r>
      <rPr>
        <b/>
        <sz val="10"/>
        <rFont val="Arial"/>
        <family val="2"/>
      </rPr>
      <t>Toilet Paper</t>
    </r>
    <r>
      <rPr>
        <sz val="10"/>
        <rFont val="Arial"/>
        <family val="2"/>
      </rPr>
      <t xml:space="preserve"> / Paper Towels</t>
    </r>
  </si>
  <si>
    <r>
      <t xml:space="preserve">Towel / </t>
    </r>
    <r>
      <rPr>
        <b/>
        <sz val="10"/>
        <rFont val="Arial"/>
        <family val="2"/>
      </rPr>
      <t>Wash Rag</t>
    </r>
  </si>
  <si>
    <t>CamelBak</t>
  </si>
  <si>
    <t>Water Bottle (Extra)</t>
  </si>
  <si>
    <t>Water Purification Pump and Tabs</t>
  </si>
  <si>
    <t>Waterproof Phone Case</t>
  </si>
  <si>
    <t>Gun (.357+)</t>
  </si>
  <si>
    <t>Earplugs (if shooting)</t>
  </si>
  <si>
    <r>
      <rPr>
        <b/>
        <sz val="10"/>
        <rFont val="Arial"/>
        <family val="2"/>
      </rPr>
      <t xml:space="preserve">Flashlight  </t>
    </r>
    <r>
      <rPr>
        <sz val="10"/>
        <rFont val="Arial"/>
        <family val="2"/>
      </rPr>
      <t xml:space="preserve">/ </t>
    </r>
    <r>
      <rPr>
        <b/>
        <sz val="10"/>
        <rFont val="Arial"/>
        <family val="2"/>
      </rPr>
      <t xml:space="preserve">Headlight </t>
    </r>
    <r>
      <rPr>
        <sz val="10"/>
        <rFont val="Arial"/>
        <family val="2"/>
      </rPr>
      <t>/ Lantern</t>
    </r>
  </si>
  <si>
    <t>Stove</t>
  </si>
  <si>
    <t>Copy and Paste items below, adjust quantity:</t>
  </si>
  <si>
    <t>at REI or the camping section of Walmart.</t>
  </si>
  <si>
    <t>Matches / Lighters</t>
  </si>
  <si>
    <r>
      <t xml:space="preserve">Axe / </t>
    </r>
    <r>
      <rPr>
        <b/>
        <sz val="10"/>
        <rFont val="Arial"/>
        <family val="2"/>
      </rPr>
      <t>Saw</t>
    </r>
    <r>
      <rPr>
        <sz val="10"/>
        <rFont val="Arial"/>
        <family val="2"/>
      </rPr>
      <t xml:space="preserve"> / Hatchett</t>
    </r>
  </si>
  <si>
    <r>
      <rPr>
        <b/>
        <sz val="10"/>
        <rFont val="Arial"/>
        <family val="2"/>
      </rPr>
      <t>Camp Shoes</t>
    </r>
    <r>
      <rPr>
        <sz val="10"/>
        <rFont val="Arial"/>
        <family val="2"/>
      </rPr>
      <t xml:space="preserve"> (night time)</t>
    </r>
  </si>
  <si>
    <r>
      <rPr>
        <b/>
        <sz val="10"/>
        <rFont val="Arial"/>
        <family val="2"/>
      </rPr>
      <t>Chap stick</t>
    </r>
    <r>
      <rPr>
        <sz val="10"/>
        <rFont val="Arial"/>
        <family val="2"/>
      </rPr>
      <t xml:space="preserve"> / </t>
    </r>
    <r>
      <rPr>
        <b/>
        <sz val="10"/>
        <rFont val="Arial"/>
        <family val="2"/>
      </rPr>
      <t>lotion</t>
    </r>
  </si>
  <si>
    <r>
      <rPr>
        <b/>
        <sz val="10"/>
        <rFont val="Arial"/>
        <family val="2"/>
      </rPr>
      <t>Trash Bags</t>
    </r>
    <r>
      <rPr>
        <sz val="10"/>
        <rFont val="Arial"/>
        <family val="2"/>
      </rPr>
      <t xml:space="preserve"> / Stuff Bag / Drysack</t>
    </r>
  </si>
  <si>
    <r>
      <t xml:space="preserve">Jacket / </t>
    </r>
    <r>
      <rPr>
        <sz val="10"/>
        <rFont val="Arial"/>
        <family val="2"/>
      </rPr>
      <t>Sweatshirt</t>
    </r>
  </si>
  <si>
    <t>1oz Great Value Deluxe Mixed Nuts</t>
  </si>
  <si>
    <t>1/4 Cup GV Reduced Sugar Cranberries</t>
  </si>
  <si>
    <t>700/hr</t>
  </si>
  <si>
    <t>Lens Wipes</t>
  </si>
  <si>
    <t>Poncho</t>
  </si>
  <si>
    <t>Trash Bags</t>
  </si>
  <si>
    <t>Day Trip</t>
  </si>
  <si>
    <t>Bikepack</t>
  </si>
  <si>
    <t>Deterrent</t>
  </si>
  <si>
    <t>Hand Sanitizer / Soap</t>
  </si>
  <si>
    <t>Toilet Paper / Paper Towels</t>
  </si>
  <si>
    <t>Jacket</t>
  </si>
  <si>
    <t>Paracord</t>
  </si>
  <si>
    <r>
      <rPr>
        <b/>
        <sz val="10"/>
        <rFont val="Arial"/>
        <family val="2"/>
      </rPr>
      <t>Toilet Paper</t>
    </r>
    <r>
      <rPr>
        <sz val="10"/>
        <rFont val="Arial"/>
        <family val="2"/>
      </rPr>
      <t xml:space="preserve"> / </t>
    </r>
    <r>
      <rPr>
        <b/>
        <sz val="10"/>
        <rFont val="Arial"/>
        <family val="2"/>
      </rPr>
      <t>Paper Towels</t>
    </r>
  </si>
  <si>
    <t>Wash Rag</t>
  </si>
  <si>
    <t>Hand Sanitizer / Soap (Bio)</t>
  </si>
  <si>
    <t>Bear Mace / Detterent</t>
  </si>
  <si>
    <t>Camp Chair</t>
  </si>
  <si>
    <t>Toilet Paper</t>
  </si>
  <si>
    <t>Paper Towel</t>
  </si>
  <si>
    <t>Sunscreen</t>
  </si>
  <si>
    <t>Headlamp</t>
  </si>
  <si>
    <t>Bear bell</t>
  </si>
  <si>
    <t>Tiny Shovel</t>
  </si>
  <si>
    <t>Collapsed Water Bottle</t>
  </si>
  <si>
    <t>Hand Sanitizer</t>
  </si>
  <si>
    <t>Lighter</t>
  </si>
  <si>
    <t>Wash Kit:</t>
  </si>
  <si>
    <t>Earplugs</t>
  </si>
  <si>
    <t>Plastic Sacks</t>
  </si>
  <si>
    <t>Hygiene kit:</t>
  </si>
  <si>
    <t>Chair</t>
  </si>
  <si>
    <t>Saw</t>
  </si>
  <si>
    <t>Firekit:</t>
  </si>
  <si>
    <t>Medkit:</t>
  </si>
  <si>
    <t>Flashlight</t>
  </si>
  <si>
    <t>---------</t>
  </si>
  <si>
    <t>Fuel</t>
  </si>
  <si>
    <t>Katadyn Hiker</t>
  </si>
  <si>
    <t>Repel</t>
  </si>
  <si>
    <t>*Sleeping Bag</t>
  </si>
  <si>
    <t>Fleece Jacket</t>
  </si>
  <si>
    <t>Pillow</t>
  </si>
  <si>
    <t>*Tent</t>
  </si>
  <si>
    <t>Air Mattress</t>
  </si>
  <si>
    <t>Sheet</t>
  </si>
  <si>
    <t>Pot/Stove</t>
  </si>
  <si>
    <t>Poncho Tarp</t>
  </si>
  <si>
    <t>Food in Orage Stuff Sack</t>
  </si>
  <si>
    <t>-Two Rags</t>
  </si>
  <si>
    <t>-Moleskin</t>
  </si>
  <si>
    <t>-Wrap</t>
  </si>
  <si>
    <t>-Thread/Needles</t>
  </si>
  <si>
    <t>-Air Matress Patches</t>
  </si>
  <si>
    <t>-Gauze Pad/Bandaids</t>
  </si>
  <si>
    <t>-Pen and Paper</t>
  </si>
  <si>
    <t>-In Trash Bag</t>
  </si>
  <si>
    <t>Front Left</t>
  </si>
  <si>
    <t>Front Right</t>
  </si>
  <si>
    <t>Waistband</t>
  </si>
  <si>
    <t>Webbing</t>
  </si>
  <si>
    <t>Middle Top</t>
  </si>
  <si>
    <t>Middle Bottom</t>
  </si>
  <si>
    <t>Top</t>
  </si>
  <si>
    <t>Main Compartment</t>
  </si>
  <si>
    <t>-Matches</t>
  </si>
  <si>
    <t>-Lighter</t>
  </si>
  <si>
    <t>-Flint</t>
  </si>
  <si>
    <t>-Fire tabs</t>
  </si>
  <si>
    <t>-Matches/Lighter</t>
  </si>
  <si>
    <t>-Water Tabs</t>
  </si>
  <si>
    <t>-Chapstick</t>
  </si>
  <si>
    <t>-Toothpaste/Brush</t>
  </si>
  <si>
    <t>-Lotion</t>
  </si>
  <si>
    <t>-Chafe Balm</t>
  </si>
  <si>
    <t>-3x Triple A</t>
  </si>
  <si>
    <t>-Flossers</t>
  </si>
  <si>
    <t>-Tweezers/Nail clippers</t>
  </si>
  <si>
    <t>-Extra Utensil</t>
  </si>
  <si>
    <t>-Neosporin</t>
  </si>
  <si>
    <t>3x Triple A</t>
  </si>
  <si>
    <t>*GPS / Battery</t>
  </si>
  <si>
    <t>*Camp Shoes / Clothing</t>
  </si>
  <si>
    <t>*Water Jug / Grate</t>
  </si>
  <si>
    <t>*Glasses/Eyedrops</t>
  </si>
  <si>
    <t>*Food</t>
  </si>
  <si>
    <t>*Drugs</t>
  </si>
  <si>
    <t>Camp Suds / Sponge</t>
  </si>
  <si>
    <t>*Permethrin</t>
  </si>
  <si>
    <t>Water Bottle</t>
  </si>
  <si>
    <t>-Duct Tape</t>
  </si>
  <si>
    <t>!!Water Bladder!!</t>
  </si>
  <si>
    <t>All Possible Gear - See Bag Tab</t>
  </si>
  <si>
    <t>https://justinscustomcomputers.com/backpacking.html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</si>
</sst>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3" fillId="0" borderId="0" xfId="1"/>
    <xf numFmtId="0" fontId="4" fillId="0" borderId="0" xfId="0" applyFont="1" applyAlignment="1">
      <alignment horizontal="center"/>
    </xf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ustinscustomcomputers.com/backpacking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D610-99B8-4E63-A9D0-767E991BB004}">
  <sheetPr>
    <pageSetUpPr fitToPage="1"/>
  </sheetPr>
  <dimension ref="A1:C54"/>
  <sheetViews>
    <sheetView topLeftCell="A13" workbookViewId="0">
      <selection activeCell="H34" sqref="H34"/>
    </sheetView>
  </sheetViews>
  <sheetFormatPr defaultRowHeight="12.5" x14ac:dyDescent="0.25"/>
  <cols>
    <col min="1" max="1" width="21.453125" bestFit="1" customWidth="1"/>
    <col min="3" max="3" width="21.453125" bestFit="1" customWidth="1"/>
  </cols>
  <sheetData>
    <row r="1" spans="1:3" x14ac:dyDescent="0.25">
      <c r="A1" s="14" t="s">
        <v>167</v>
      </c>
      <c r="C1" s="14" t="s">
        <v>173</v>
      </c>
    </row>
    <row r="2" spans="1:3" x14ac:dyDescent="0.25">
      <c r="A2" t="s">
        <v>128</v>
      </c>
      <c r="C2" t="s">
        <v>190</v>
      </c>
    </row>
    <row r="3" spans="1:3" x14ac:dyDescent="0.25">
      <c r="A3" t="s">
        <v>129</v>
      </c>
      <c r="C3" t="s">
        <v>53</v>
      </c>
    </row>
    <row r="4" spans="1:3" x14ac:dyDescent="0.25">
      <c r="A4" t="s">
        <v>130</v>
      </c>
      <c r="C4" t="s">
        <v>145</v>
      </c>
    </row>
    <row r="5" spans="1:3" x14ac:dyDescent="0.25">
      <c r="C5" t="s">
        <v>146</v>
      </c>
    </row>
    <row r="6" spans="1:3" x14ac:dyDescent="0.25">
      <c r="A6" s="14" t="s">
        <v>168</v>
      </c>
      <c r="C6" t="s">
        <v>147</v>
      </c>
    </row>
    <row r="7" spans="1:3" x14ac:dyDescent="0.25">
      <c r="A7" t="s">
        <v>131</v>
      </c>
      <c r="C7" t="s">
        <v>148</v>
      </c>
    </row>
    <row r="8" spans="1:3" x14ac:dyDescent="0.25">
      <c r="A8" t="s">
        <v>132</v>
      </c>
      <c r="C8" t="s">
        <v>69</v>
      </c>
    </row>
    <row r="9" spans="1:3" x14ac:dyDescent="0.25">
      <c r="A9" t="s">
        <v>133</v>
      </c>
      <c r="C9" t="s">
        <v>149</v>
      </c>
    </row>
    <row r="10" spans="1:3" x14ac:dyDescent="0.25">
      <c r="A10" t="s">
        <v>134</v>
      </c>
    </row>
    <row r="11" spans="1:3" x14ac:dyDescent="0.25">
      <c r="A11" t="s">
        <v>197</v>
      </c>
      <c r="C11" s="14" t="s">
        <v>174</v>
      </c>
    </row>
    <row r="12" spans="1:3" x14ac:dyDescent="0.25">
      <c r="C12" t="s">
        <v>151</v>
      </c>
    </row>
    <row r="13" spans="1:3" x14ac:dyDescent="0.25">
      <c r="A13" s="14" t="s">
        <v>169</v>
      </c>
      <c r="C13" t="s">
        <v>152</v>
      </c>
    </row>
    <row r="14" spans="1:3" x14ac:dyDescent="0.25">
      <c r="A14" t="s">
        <v>135</v>
      </c>
      <c r="C14" t="s">
        <v>154</v>
      </c>
    </row>
    <row r="15" spans="1:3" x14ac:dyDescent="0.25">
      <c r="A15" t="s">
        <v>136</v>
      </c>
      <c r="C15" t="s">
        <v>155</v>
      </c>
    </row>
    <row r="16" spans="1:3" x14ac:dyDescent="0.25">
      <c r="C16" t="s">
        <v>139</v>
      </c>
    </row>
    <row r="17" spans="1:3" x14ac:dyDescent="0.25">
      <c r="A17" s="14" t="s">
        <v>170</v>
      </c>
      <c r="C17" t="s">
        <v>10</v>
      </c>
    </row>
    <row r="18" spans="1:3" x14ac:dyDescent="0.25">
      <c r="A18" t="s">
        <v>137</v>
      </c>
      <c r="C18" t="s">
        <v>156</v>
      </c>
    </row>
    <row r="19" spans="1:3" x14ac:dyDescent="0.25">
      <c r="A19" s="13" t="s">
        <v>159</v>
      </c>
      <c r="C19" t="s">
        <v>157</v>
      </c>
    </row>
    <row r="20" spans="1:3" x14ac:dyDescent="0.25">
      <c r="C20" t="s">
        <v>158</v>
      </c>
    </row>
    <row r="21" spans="1:3" x14ac:dyDescent="0.25">
      <c r="A21" s="14" t="s">
        <v>171</v>
      </c>
      <c r="C21" t="s">
        <v>199</v>
      </c>
    </row>
    <row r="22" spans="1:3" x14ac:dyDescent="0.25">
      <c r="A22" t="s">
        <v>138</v>
      </c>
      <c r="C22" t="s">
        <v>150</v>
      </c>
    </row>
    <row r="23" spans="1:3" x14ac:dyDescent="0.25">
      <c r="A23" t="s">
        <v>139</v>
      </c>
      <c r="C23" s="13" t="s">
        <v>166</v>
      </c>
    </row>
    <row r="24" spans="1:3" ht="13" x14ac:dyDescent="0.3">
      <c r="A24" s="2" t="s">
        <v>140</v>
      </c>
      <c r="C24" t="s">
        <v>153</v>
      </c>
    </row>
    <row r="25" spans="1:3" x14ac:dyDescent="0.25">
      <c r="A25" s="13" t="s">
        <v>181</v>
      </c>
      <c r="C25" t="s">
        <v>192</v>
      </c>
    </row>
    <row r="26" spans="1:3" x14ac:dyDescent="0.25">
      <c r="A26" s="13" t="s">
        <v>182</v>
      </c>
      <c r="C26" t="s">
        <v>191</v>
      </c>
    </row>
    <row r="27" spans="1:3" x14ac:dyDescent="0.25">
      <c r="A27" s="13" t="s">
        <v>183</v>
      </c>
      <c r="C27" t="s">
        <v>193</v>
      </c>
    </row>
    <row r="28" spans="1:3" x14ac:dyDescent="0.25">
      <c r="A28" s="13" t="s">
        <v>184</v>
      </c>
      <c r="C28" t="s">
        <v>194</v>
      </c>
    </row>
    <row r="29" spans="1:3" x14ac:dyDescent="0.25">
      <c r="A29" s="13" t="s">
        <v>185</v>
      </c>
      <c r="C29" t="s">
        <v>196</v>
      </c>
    </row>
    <row r="30" spans="1:3" x14ac:dyDescent="0.25">
      <c r="A30" s="13" t="s">
        <v>186</v>
      </c>
      <c r="C30" t="s">
        <v>195</v>
      </c>
    </row>
    <row r="31" spans="1:3" x14ac:dyDescent="0.25">
      <c r="A31" s="13" t="s">
        <v>187</v>
      </c>
      <c r="C31" t="s">
        <v>198</v>
      </c>
    </row>
    <row r="32" spans="1:3" x14ac:dyDescent="0.25">
      <c r="A32" s="13" t="s">
        <v>188</v>
      </c>
    </row>
    <row r="33" spans="1:3" x14ac:dyDescent="0.25">
      <c r="A33" s="13" t="s">
        <v>189</v>
      </c>
      <c r="C33" t="s">
        <v>201</v>
      </c>
    </row>
    <row r="34" spans="1:3" x14ac:dyDescent="0.25">
      <c r="A34" s="13"/>
    </row>
    <row r="36" spans="1:3" x14ac:dyDescent="0.25">
      <c r="A36" s="14" t="s">
        <v>172</v>
      </c>
    </row>
    <row r="37" spans="1:3" x14ac:dyDescent="0.25">
      <c r="A37" t="s">
        <v>141</v>
      </c>
    </row>
    <row r="38" spans="1:3" x14ac:dyDescent="0.25">
      <c r="A38" t="s">
        <v>122</v>
      </c>
    </row>
    <row r="39" spans="1:3" x14ac:dyDescent="0.25">
      <c r="A39" t="s">
        <v>142</v>
      </c>
    </row>
    <row r="40" spans="1:3" ht="13" x14ac:dyDescent="0.3">
      <c r="A40" s="2" t="s">
        <v>143</v>
      </c>
    </row>
    <row r="41" spans="1:3" x14ac:dyDescent="0.25">
      <c r="A41" s="13" t="s">
        <v>175</v>
      </c>
    </row>
    <row r="42" spans="1:3" x14ac:dyDescent="0.25">
      <c r="A42" s="13" t="s">
        <v>176</v>
      </c>
    </row>
    <row r="43" spans="1:3" x14ac:dyDescent="0.25">
      <c r="A43" s="13" t="s">
        <v>177</v>
      </c>
    </row>
    <row r="44" spans="1:3" x14ac:dyDescent="0.25">
      <c r="A44" s="13" t="s">
        <v>178</v>
      </c>
    </row>
    <row r="45" spans="1:3" x14ac:dyDescent="0.25">
      <c r="A45" s="13" t="s">
        <v>200</v>
      </c>
    </row>
    <row r="46" spans="1:3" ht="13" x14ac:dyDescent="0.3">
      <c r="A46" s="2" t="s">
        <v>144</v>
      </c>
    </row>
    <row r="47" spans="1:3" x14ac:dyDescent="0.25">
      <c r="A47" s="13" t="s">
        <v>160</v>
      </c>
    </row>
    <row r="48" spans="1:3" x14ac:dyDescent="0.25">
      <c r="A48" s="13" t="s">
        <v>161</v>
      </c>
    </row>
    <row r="49" spans="1:1" x14ac:dyDescent="0.25">
      <c r="A49" s="13" t="s">
        <v>179</v>
      </c>
    </row>
    <row r="50" spans="1:1" x14ac:dyDescent="0.25">
      <c r="A50" s="13" t="s">
        <v>180</v>
      </c>
    </row>
    <row r="51" spans="1:1" x14ac:dyDescent="0.25">
      <c r="A51" s="13" t="s">
        <v>162</v>
      </c>
    </row>
    <row r="52" spans="1:1" x14ac:dyDescent="0.25">
      <c r="A52" s="13" t="s">
        <v>163</v>
      </c>
    </row>
    <row r="53" spans="1:1" x14ac:dyDescent="0.25">
      <c r="A53" s="13" t="s">
        <v>164</v>
      </c>
    </row>
    <row r="54" spans="1:1" x14ac:dyDescent="0.25">
      <c r="A54" s="13" t="s">
        <v>165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/>
  </sheetViews>
  <sheetFormatPr defaultRowHeight="12.5" x14ac:dyDescent="0.25"/>
  <cols>
    <col min="1" max="1" width="30.453125" customWidth="1"/>
    <col min="2" max="2" width="32.90625" customWidth="1"/>
  </cols>
  <sheetData>
    <row r="1" spans="1:2" x14ac:dyDescent="0.25">
      <c r="A1" s="11" t="s">
        <v>203</v>
      </c>
    </row>
    <row r="2" spans="1:2" x14ac:dyDescent="0.25">
      <c r="A2" s="15" t="s">
        <v>202</v>
      </c>
      <c r="B2" s="15"/>
    </row>
    <row r="3" spans="1:2" ht="13" x14ac:dyDescent="0.3">
      <c r="A3" t="s">
        <v>45</v>
      </c>
      <c r="B3" s="2" t="s">
        <v>104</v>
      </c>
    </row>
    <row r="4" spans="1:2" ht="13" x14ac:dyDescent="0.3">
      <c r="A4" t="s">
        <v>105</v>
      </c>
      <c r="B4" t="s">
        <v>46</v>
      </c>
    </row>
    <row r="5" spans="1:2" ht="13" x14ac:dyDescent="0.3">
      <c r="A5" s="2" t="s">
        <v>48</v>
      </c>
      <c r="B5" t="s">
        <v>47</v>
      </c>
    </row>
    <row r="6" spans="1:2" ht="13" x14ac:dyDescent="0.3">
      <c r="A6" s="2" t="s">
        <v>50</v>
      </c>
      <c r="B6" s="2" t="s">
        <v>49</v>
      </c>
    </row>
    <row r="7" spans="1:2" ht="13" x14ac:dyDescent="0.3">
      <c r="A7" s="2" t="s">
        <v>52</v>
      </c>
      <c r="B7" s="2" t="s">
        <v>51</v>
      </c>
    </row>
    <row r="8" spans="1:2" ht="13" x14ac:dyDescent="0.3">
      <c r="A8" s="2" t="s">
        <v>94</v>
      </c>
      <c r="B8" t="s">
        <v>87</v>
      </c>
    </row>
    <row r="9" spans="1:2" ht="13" x14ac:dyDescent="0.3">
      <c r="A9" t="s">
        <v>106</v>
      </c>
      <c r="B9" t="s">
        <v>88</v>
      </c>
    </row>
    <row r="10" spans="1:2" ht="13" x14ac:dyDescent="0.3">
      <c r="A10" t="s">
        <v>53</v>
      </c>
      <c r="B10" s="2" t="s">
        <v>54</v>
      </c>
    </row>
    <row r="11" spans="1:2" ht="13" x14ac:dyDescent="0.3">
      <c r="A11" t="s">
        <v>107</v>
      </c>
      <c r="B11" t="s">
        <v>56</v>
      </c>
    </row>
    <row r="12" spans="1:2" ht="13" x14ac:dyDescent="0.3">
      <c r="A12" t="s">
        <v>55</v>
      </c>
      <c r="B12" s="2" t="s">
        <v>58</v>
      </c>
    </row>
    <row r="13" spans="1:2" ht="13" x14ac:dyDescent="0.3">
      <c r="A13" s="2" t="s">
        <v>57</v>
      </c>
      <c r="B13" t="s">
        <v>89</v>
      </c>
    </row>
    <row r="14" spans="1:2" ht="13" x14ac:dyDescent="0.3">
      <c r="A14" s="2" t="s">
        <v>59</v>
      </c>
      <c r="B14" t="s">
        <v>61</v>
      </c>
    </row>
    <row r="15" spans="1:2" ht="13" x14ac:dyDescent="0.3">
      <c r="A15" s="2" t="s">
        <v>60</v>
      </c>
      <c r="B15" s="2" t="s">
        <v>101</v>
      </c>
    </row>
    <row r="16" spans="1:2" ht="13" x14ac:dyDescent="0.3">
      <c r="A16" s="2" t="s">
        <v>84</v>
      </c>
      <c r="B16" t="s">
        <v>62</v>
      </c>
    </row>
    <row r="17" spans="1:2" ht="13" x14ac:dyDescent="0.3">
      <c r="A17" t="s">
        <v>63</v>
      </c>
      <c r="B17" s="2" t="s">
        <v>64</v>
      </c>
    </row>
    <row r="18" spans="1:2" ht="13" x14ac:dyDescent="0.3">
      <c r="A18" s="2" t="s">
        <v>65</v>
      </c>
      <c r="B18" t="s">
        <v>66</v>
      </c>
    </row>
    <row r="19" spans="1:2" x14ac:dyDescent="0.25">
      <c r="A19" t="s">
        <v>99</v>
      </c>
      <c r="B19" t="s">
        <v>90</v>
      </c>
    </row>
    <row r="20" spans="1:2" ht="13" x14ac:dyDescent="0.3">
      <c r="A20" s="2" t="s">
        <v>85</v>
      </c>
      <c r="B20" t="s">
        <v>92</v>
      </c>
    </row>
    <row r="21" spans="1:2" ht="13" x14ac:dyDescent="0.3">
      <c r="A21" t="s">
        <v>67</v>
      </c>
      <c r="B21" s="2" t="s">
        <v>68</v>
      </c>
    </row>
    <row r="22" spans="1:2" ht="13" x14ac:dyDescent="0.3">
      <c r="A22" t="s">
        <v>100</v>
      </c>
      <c r="B22" t="s">
        <v>93</v>
      </c>
    </row>
    <row r="23" spans="1:2" ht="13" x14ac:dyDescent="0.3">
      <c r="A23" s="2" t="s">
        <v>91</v>
      </c>
      <c r="B23" t="s">
        <v>108</v>
      </c>
    </row>
    <row r="24" spans="1:2" ht="13" x14ac:dyDescent="0.3">
      <c r="A24" s="2" t="s">
        <v>86</v>
      </c>
      <c r="B24" s="2" t="s">
        <v>70</v>
      </c>
    </row>
    <row r="25" spans="1:2" ht="13" x14ac:dyDescent="0.3">
      <c r="A25" s="2" t="s">
        <v>69</v>
      </c>
      <c r="B25" s="2" t="s">
        <v>95</v>
      </c>
    </row>
    <row r="26" spans="1:2" ht="13" x14ac:dyDescent="0.3">
      <c r="A26" t="s">
        <v>98</v>
      </c>
      <c r="B26" s="2" t="s">
        <v>96</v>
      </c>
    </row>
    <row r="27" spans="1:2" x14ac:dyDescent="0.25">
      <c r="A27" t="s">
        <v>71</v>
      </c>
      <c r="B27" t="s">
        <v>97</v>
      </c>
    </row>
    <row r="28" spans="1:2" ht="13" x14ac:dyDescent="0.3">
      <c r="A28" s="2" t="s">
        <v>109</v>
      </c>
      <c r="B28" s="2" t="s">
        <v>72</v>
      </c>
    </row>
  </sheetData>
  <mergeCells count="1">
    <mergeCell ref="A2:B2"/>
  </mergeCells>
  <hyperlinks>
    <hyperlink ref="A1" r:id="rId1" xr:uid="{00000000-0004-0000-00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A4" sqref="A4"/>
    </sheetView>
  </sheetViews>
  <sheetFormatPr defaultRowHeight="12.5" x14ac:dyDescent="0.25"/>
  <cols>
    <col min="1" max="1" width="28" bestFit="1" customWidth="1"/>
    <col min="2" max="2" width="14.54296875" bestFit="1" customWidth="1"/>
    <col min="6" max="6" width="1.453125" customWidth="1"/>
    <col min="7" max="7" width="20.81640625" bestFit="1" customWidth="1"/>
  </cols>
  <sheetData>
    <row r="1" spans="1:7" x14ac:dyDescent="0.25">
      <c r="A1" s="16" t="s">
        <v>78</v>
      </c>
      <c r="B1" s="16"/>
      <c r="C1" s="16"/>
      <c r="D1" s="16"/>
      <c r="E1" s="16"/>
      <c r="F1" s="16"/>
      <c r="G1" s="16"/>
    </row>
    <row r="2" spans="1:7" ht="13" x14ac:dyDescent="0.3">
      <c r="B2" s="1" t="s">
        <v>0</v>
      </c>
      <c r="C2" s="1" t="s">
        <v>1</v>
      </c>
      <c r="D2" s="1" t="s">
        <v>2</v>
      </c>
      <c r="E2" s="1" t="s">
        <v>3</v>
      </c>
    </row>
    <row r="3" spans="1:7" ht="13" x14ac:dyDescent="0.3">
      <c r="A3" s="2" t="s">
        <v>73</v>
      </c>
      <c r="B3" s="20" t="s">
        <v>30</v>
      </c>
      <c r="C3" s="20"/>
      <c r="D3" s="20"/>
      <c r="E3" s="20"/>
    </row>
    <row r="4" spans="1:7" ht="13" x14ac:dyDescent="0.3">
      <c r="A4" s="4">
        <v>210</v>
      </c>
      <c r="B4" s="17" t="s">
        <v>4</v>
      </c>
      <c r="C4" s="17"/>
      <c r="D4" s="17"/>
      <c r="E4" s="17"/>
      <c r="G4" s="1" t="s">
        <v>5</v>
      </c>
    </row>
    <row r="5" spans="1:7" x14ac:dyDescent="0.25">
      <c r="B5" s="7">
        <f>((9+A13)/10+1)*B8</f>
        <v>3730.4988636363632</v>
      </c>
      <c r="C5" s="7">
        <f>(B5-(E5*4+D5*9))/4</f>
        <v>457.49971590909081</v>
      </c>
      <c r="D5" s="7">
        <f>A4*0.45</f>
        <v>94.5</v>
      </c>
      <c r="E5" s="7">
        <f>1.25*A4</f>
        <v>262.5</v>
      </c>
      <c r="G5" s="5" t="str">
        <f>ROUND((B5*1)*0.000264172052,2)&amp;" to "&amp;ROUND((B5*1.5)*0.000264172052,2)</f>
        <v>0.99 to 1.48</v>
      </c>
    </row>
    <row r="6" spans="1:7" ht="13" x14ac:dyDescent="0.3">
      <c r="A6" s="2" t="s">
        <v>6</v>
      </c>
      <c r="B6" s="3"/>
      <c r="C6" s="3"/>
      <c r="D6" s="3"/>
      <c r="E6" s="3"/>
    </row>
    <row r="7" spans="1:7" ht="13" x14ac:dyDescent="0.3">
      <c r="A7" s="4">
        <v>73</v>
      </c>
      <c r="B7" s="1" t="s">
        <v>7</v>
      </c>
      <c r="C7" s="3"/>
      <c r="D7" s="3"/>
      <c r="E7" s="3"/>
    </row>
    <row r="8" spans="1:7" x14ac:dyDescent="0.25">
      <c r="B8" s="7">
        <f>5+10*(A4/2.2)+6.25*(A7*2.54)-5*A10</f>
        <v>1963.4204545454545</v>
      </c>
      <c r="C8" s="3"/>
      <c r="D8" s="3"/>
      <c r="E8" s="3"/>
    </row>
    <row r="9" spans="1:7" ht="13" x14ac:dyDescent="0.3">
      <c r="A9" s="2" t="s">
        <v>8</v>
      </c>
      <c r="C9" s="3"/>
      <c r="D9" s="3"/>
      <c r="E9" s="3"/>
    </row>
    <row r="10" spans="1:7" ht="13" x14ac:dyDescent="0.3">
      <c r="A10" s="4">
        <v>31</v>
      </c>
      <c r="B10" s="18" t="s">
        <v>9</v>
      </c>
      <c r="C10" s="18"/>
      <c r="D10" s="18"/>
      <c r="E10" s="18"/>
    </row>
    <row r="11" spans="1:7" ht="13" x14ac:dyDescent="0.3">
      <c r="B11" s="19" t="s">
        <v>4</v>
      </c>
      <c r="C11" s="19"/>
      <c r="D11" s="19"/>
      <c r="E11" s="19"/>
      <c r="G11" s="1" t="s">
        <v>5</v>
      </c>
    </row>
    <row r="12" spans="1:7" ht="13" x14ac:dyDescent="0.3">
      <c r="A12" s="2" t="s">
        <v>74</v>
      </c>
      <c r="B12" s="8">
        <f>((9+A13)/10+1)*B15</f>
        <v>3415.0988636363636</v>
      </c>
      <c r="C12" s="7">
        <f>(B12-(E12*4+D12*9))/4</f>
        <v>431.1497159090909</v>
      </c>
      <c r="D12" s="7">
        <f>A4*0.45</f>
        <v>94.5</v>
      </c>
      <c r="E12" s="9">
        <f>A4</f>
        <v>210</v>
      </c>
      <c r="G12" s="5" t="str">
        <f>ROUND((B12*1)*0.000264172052,2)&amp;" to "&amp;ROUND((B12*1.5)*0.000264172052,2)</f>
        <v>0.9 to 1.35</v>
      </c>
    </row>
    <row r="13" spans="1:7" x14ac:dyDescent="0.25">
      <c r="A13" s="4">
        <v>0</v>
      </c>
      <c r="B13" s="8"/>
      <c r="C13" s="7"/>
      <c r="D13" s="7"/>
      <c r="E13" s="9"/>
    </row>
    <row r="14" spans="1:7" ht="13" x14ac:dyDescent="0.3">
      <c r="A14" t="s">
        <v>76</v>
      </c>
      <c r="B14" s="10" t="s">
        <v>7</v>
      </c>
      <c r="C14" s="7"/>
      <c r="D14" s="7"/>
      <c r="E14" s="9"/>
    </row>
    <row r="15" spans="1:7" x14ac:dyDescent="0.25">
      <c r="A15" s="4" t="s">
        <v>77</v>
      </c>
      <c r="B15" s="8">
        <f>-161+10*(A4/2.2)+6.25*(A7*2.54)-5*A10</f>
        <v>1797.4204545454545</v>
      </c>
      <c r="C15" s="7"/>
      <c r="D15" s="7"/>
      <c r="E15" s="9"/>
    </row>
    <row r="16" spans="1:7" x14ac:dyDescent="0.25">
      <c r="A16" s="4" t="s">
        <v>75</v>
      </c>
    </row>
  </sheetData>
  <mergeCells count="5">
    <mergeCell ref="A1:G1"/>
    <mergeCell ref="B4:E4"/>
    <mergeCell ref="B10:E10"/>
    <mergeCell ref="B11:E11"/>
    <mergeCell ref="B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5"/>
  <sheetViews>
    <sheetView workbookViewId="0">
      <pane ySplit="2" topLeftCell="A27" activePane="bottomLeft" state="frozen"/>
      <selection pane="bottomLeft" activeCell="I19" sqref="I19"/>
    </sheetView>
  </sheetViews>
  <sheetFormatPr defaultColWidth="11.54296875" defaultRowHeight="12.5" x14ac:dyDescent="0.25"/>
  <cols>
    <col min="1" max="1" width="40.90625" customWidth="1"/>
    <col min="2" max="2" width="7.1796875" bestFit="1" customWidth="1"/>
    <col min="3" max="3" width="14.36328125" customWidth="1"/>
    <col min="9" max="9" width="38.36328125" customWidth="1"/>
  </cols>
  <sheetData>
    <row r="1" spans="1:9" x14ac:dyDescent="0.25">
      <c r="A1" s="16" t="s">
        <v>78</v>
      </c>
      <c r="B1" s="16"/>
      <c r="C1" s="16"/>
      <c r="D1" s="16"/>
      <c r="E1" s="16"/>
      <c r="F1" s="16"/>
      <c r="G1" s="16"/>
    </row>
    <row r="2" spans="1:9" ht="13" x14ac:dyDescent="0.3">
      <c r="A2" s="1" t="s">
        <v>10</v>
      </c>
      <c r="B2" s="3" t="s">
        <v>12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13</v>
      </c>
      <c r="H2" s="1" t="s">
        <v>17</v>
      </c>
    </row>
    <row r="3" spans="1:9" x14ac:dyDescent="0.25">
      <c r="A3" t="s">
        <v>43</v>
      </c>
      <c r="B3">
        <v>1</v>
      </c>
      <c r="C3" s="3">
        <f>60*B3</f>
        <v>60</v>
      </c>
      <c r="D3" s="3">
        <f>2*B3</f>
        <v>2</v>
      </c>
      <c r="E3" s="3">
        <f>4*B3</f>
        <v>4</v>
      </c>
      <c r="F3" s="3">
        <f>4*B3</f>
        <v>4</v>
      </c>
      <c r="G3" s="3">
        <f>165*B3</f>
        <v>165</v>
      </c>
      <c r="H3" s="3">
        <f>0*B3</f>
        <v>0</v>
      </c>
      <c r="I3" s="3" t="s">
        <v>83</v>
      </c>
    </row>
    <row r="4" spans="1:9" x14ac:dyDescent="0.25">
      <c r="A4" t="s">
        <v>15</v>
      </c>
      <c r="B4">
        <v>1</v>
      </c>
      <c r="C4" s="3">
        <f>150*B4</f>
        <v>150</v>
      </c>
      <c r="D4" s="3">
        <f>31*B4</f>
        <v>31</v>
      </c>
      <c r="E4" s="3">
        <f>2*B4</f>
        <v>2</v>
      </c>
      <c r="F4" s="3">
        <f>3*B4</f>
        <v>3</v>
      </c>
      <c r="G4" s="3">
        <f>170*B4</f>
        <v>170</v>
      </c>
      <c r="H4" s="3">
        <f>3*B4</f>
        <v>3</v>
      </c>
      <c r="I4" s="3" t="s">
        <v>103</v>
      </c>
    </row>
    <row r="5" spans="1:9" x14ac:dyDescent="0.25">
      <c r="A5" t="s">
        <v>27</v>
      </c>
      <c r="B5">
        <v>1</v>
      </c>
      <c r="C5" s="3">
        <f>190*B5</f>
        <v>190</v>
      </c>
      <c r="D5" s="3">
        <f>39*B5</f>
        <v>39</v>
      </c>
      <c r="E5" s="3">
        <f>1*B5</f>
        <v>1</v>
      </c>
      <c r="F5" s="3">
        <f>5*B5</f>
        <v>5</v>
      </c>
      <c r="G5" s="3">
        <f>480*B5</f>
        <v>480</v>
      </c>
      <c r="H5" s="3">
        <f>1*B5</f>
        <v>1</v>
      </c>
      <c r="I5" s="3"/>
    </row>
    <row r="6" spans="1:9" x14ac:dyDescent="0.25">
      <c r="A6" t="s">
        <v>42</v>
      </c>
      <c r="B6">
        <v>1</v>
      </c>
      <c r="C6" s="3">
        <f>250*B6</f>
        <v>250</v>
      </c>
      <c r="D6" s="3">
        <f>44*B6</f>
        <v>44</v>
      </c>
      <c r="E6" s="3">
        <f>5*B6</f>
        <v>5</v>
      </c>
      <c r="F6" s="3">
        <f>9*B6</f>
        <v>9</v>
      </c>
      <c r="G6" s="3">
        <f>180*B6</f>
        <v>180</v>
      </c>
      <c r="H6" s="3">
        <f>4*B6</f>
        <v>4</v>
      </c>
      <c r="I6" s="3"/>
    </row>
    <row r="7" spans="1:9" x14ac:dyDescent="0.25">
      <c r="A7" t="s">
        <v>41</v>
      </c>
      <c r="B7">
        <v>1</v>
      </c>
      <c r="C7" s="3">
        <f>130*B7</f>
        <v>130</v>
      </c>
      <c r="D7" s="3">
        <f>19*B7</f>
        <v>19</v>
      </c>
      <c r="E7" s="3">
        <f>5*B7</f>
        <v>5</v>
      </c>
      <c r="F7" s="3">
        <f>3*B7</f>
        <v>3</v>
      </c>
      <c r="G7" s="3">
        <f>0*B7</f>
        <v>0</v>
      </c>
      <c r="H7" s="3">
        <f>3*B7</f>
        <v>3</v>
      </c>
      <c r="I7" s="3"/>
    </row>
    <row r="8" spans="1:9" x14ac:dyDescent="0.25">
      <c r="A8" t="s">
        <v>40</v>
      </c>
      <c r="B8">
        <v>1</v>
      </c>
      <c r="C8" s="3">
        <f>140*B8</f>
        <v>140</v>
      </c>
      <c r="D8" s="3">
        <f>29*B8</f>
        <v>29</v>
      </c>
      <c r="E8" s="3">
        <f>4*B8</f>
        <v>4</v>
      </c>
      <c r="F8" s="3">
        <f>2*B8</f>
        <v>2</v>
      </c>
      <c r="G8" s="3">
        <f>95*B8</f>
        <v>95</v>
      </c>
      <c r="H8" s="3">
        <f>9*B8</f>
        <v>9</v>
      </c>
      <c r="I8" s="3"/>
    </row>
    <row r="9" spans="1:9" x14ac:dyDescent="0.25">
      <c r="A9" t="s">
        <v>39</v>
      </c>
      <c r="B9">
        <v>1</v>
      </c>
      <c r="C9" s="3">
        <f>140*B9</f>
        <v>140</v>
      </c>
      <c r="D9" s="3">
        <f>20*B9</f>
        <v>20</v>
      </c>
      <c r="E9" s="3">
        <f>5*B9</f>
        <v>5</v>
      </c>
      <c r="F9" s="3">
        <f>6*B9</f>
        <v>6</v>
      </c>
      <c r="G9" s="3">
        <f>60*B9</f>
        <v>60</v>
      </c>
      <c r="H9" s="3">
        <f>3*B9</f>
        <v>3</v>
      </c>
      <c r="I9" s="3"/>
    </row>
    <row r="10" spans="1:9" x14ac:dyDescent="0.25">
      <c r="A10" t="s">
        <v>38</v>
      </c>
      <c r="B10">
        <v>1</v>
      </c>
      <c r="C10" s="3">
        <f>180*B10</f>
        <v>180</v>
      </c>
      <c r="D10" s="3">
        <f>27*B10</f>
        <v>27</v>
      </c>
      <c r="E10" s="3">
        <f>7*B10</f>
        <v>7</v>
      </c>
      <c r="F10" s="3">
        <f>3*B10</f>
        <v>3</v>
      </c>
      <c r="G10" s="3">
        <f>135*B10</f>
        <v>135</v>
      </c>
      <c r="H10" s="3">
        <f>3*B10</f>
        <v>3</v>
      </c>
      <c r="I10" s="3"/>
    </row>
    <row r="11" spans="1:9" x14ac:dyDescent="0.25">
      <c r="A11" t="s">
        <v>37</v>
      </c>
      <c r="B11">
        <v>1</v>
      </c>
      <c r="C11" s="3">
        <f>150*B11</f>
        <v>150</v>
      </c>
      <c r="D11" s="3">
        <f>26*B11</f>
        <v>26</v>
      </c>
      <c r="E11" s="3">
        <f>3*B11</f>
        <v>3</v>
      </c>
      <c r="F11" s="3">
        <f>4*B11</f>
        <v>4</v>
      </c>
      <c r="G11" s="3">
        <f>410</f>
        <v>410</v>
      </c>
      <c r="H11" s="3">
        <f>1*B11</f>
        <v>1</v>
      </c>
      <c r="I11" s="3"/>
    </row>
    <row r="12" spans="1:9" x14ac:dyDescent="0.25">
      <c r="A12" t="s">
        <v>35</v>
      </c>
      <c r="B12">
        <v>1</v>
      </c>
      <c r="C12" s="3">
        <f>210*B12</f>
        <v>210</v>
      </c>
      <c r="D12" s="3">
        <f>6*B12</f>
        <v>6</v>
      </c>
      <c r="E12" s="3">
        <f>17*B12</f>
        <v>17</v>
      </c>
      <c r="F12" s="3">
        <f>8*B12</f>
        <v>8</v>
      </c>
      <c r="G12" s="3">
        <f>130*B12</f>
        <v>130</v>
      </c>
      <c r="H12" s="3">
        <f>2*B12</f>
        <v>2</v>
      </c>
      <c r="I12" s="3"/>
    </row>
    <row r="13" spans="1:9" x14ac:dyDescent="0.25">
      <c r="A13" t="s">
        <v>36</v>
      </c>
      <c r="B13">
        <v>1</v>
      </c>
      <c r="C13" s="3">
        <f>100*B13</f>
        <v>100</v>
      </c>
      <c r="D13" s="3">
        <f>13*B13</f>
        <v>13</v>
      </c>
      <c r="E13" s="3">
        <f>0*B13</f>
        <v>0</v>
      </c>
      <c r="F13" s="3">
        <f>0*B13</f>
        <v>0</v>
      </c>
      <c r="G13" s="3">
        <f>0*B13</f>
        <v>0</v>
      </c>
      <c r="H13" s="3">
        <f>0*B13</f>
        <v>0</v>
      </c>
      <c r="I13" s="3"/>
    </row>
    <row r="14" spans="1:9" x14ac:dyDescent="0.25">
      <c r="A14" t="s">
        <v>44</v>
      </c>
      <c r="B14">
        <v>1</v>
      </c>
      <c r="C14" s="3">
        <f>120*B14</f>
        <v>120</v>
      </c>
      <c r="D14" s="3">
        <f>20*B14</f>
        <v>20</v>
      </c>
      <c r="E14" s="3">
        <f>4*B14</f>
        <v>4</v>
      </c>
      <c r="F14" s="3">
        <f>3*B14</f>
        <v>3</v>
      </c>
      <c r="G14" s="3">
        <f>135*B14</f>
        <v>135</v>
      </c>
      <c r="H14" s="3">
        <f>3*B14</f>
        <v>3</v>
      </c>
      <c r="I14" s="3"/>
    </row>
    <row r="15" spans="1:9" x14ac:dyDescent="0.25">
      <c r="A15" t="s">
        <v>18</v>
      </c>
      <c r="B15">
        <v>1</v>
      </c>
      <c r="C15" s="6">
        <f>110*B15</f>
        <v>110</v>
      </c>
      <c r="D15" s="6">
        <f>19*B15</f>
        <v>19</v>
      </c>
      <c r="E15" s="3">
        <f>2.5*B15</f>
        <v>2.5</v>
      </c>
      <c r="F15" s="3">
        <f>3*B15</f>
        <v>3</v>
      </c>
      <c r="G15" s="3">
        <f>500*B15</f>
        <v>500</v>
      </c>
      <c r="H15" s="3">
        <f>1*B15</f>
        <v>1</v>
      </c>
      <c r="I15" s="3"/>
    </row>
    <row r="16" spans="1:9" x14ac:dyDescent="0.25">
      <c r="A16" t="s">
        <v>19</v>
      </c>
      <c r="B16">
        <v>1</v>
      </c>
      <c r="C16" s="3">
        <f>210*B16</f>
        <v>210</v>
      </c>
      <c r="D16" s="3">
        <f>42*B16</f>
        <v>42</v>
      </c>
      <c r="E16" s="3">
        <f>1.5*B16</f>
        <v>1.5</v>
      </c>
      <c r="F16" s="3">
        <f>7*B16</f>
        <v>7</v>
      </c>
      <c r="G16" s="3">
        <f>640*B16</f>
        <v>640</v>
      </c>
      <c r="H16" s="3">
        <f>2*B16</f>
        <v>2</v>
      </c>
      <c r="I16" s="3"/>
    </row>
    <row r="17" spans="1:9" x14ac:dyDescent="0.25">
      <c r="A17" t="s">
        <v>28</v>
      </c>
      <c r="B17">
        <v>1</v>
      </c>
      <c r="C17" s="3">
        <f>370*B17</f>
        <v>370</v>
      </c>
      <c r="D17" s="3">
        <f>54*B17</f>
        <v>54</v>
      </c>
      <c r="E17" s="3">
        <f>14*B17</f>
        <v>14</v>
      </c>
      <c r="F17" s="3">
        <f>8*B17</f>
        <v>8</v>
      </c>
      <c r="G17" s="3">
        <f>1520*B17</f>
        <v>1520</v>
      </c>
      <c r="H17" s="3">
        <f>2*B17</f>
        <v>2</v>
      </c>
      <c r="I17" s="3"/>
    </row>
    <row r="18" spans="1:9" x14ac:dyDescent="0.25">
      <c r="A18" t="s">
        <v>20</v>
      </c>
      <c r="B18">
        <v>1</v>
      </c>
      <c r="C18" s="3">
        <f>287.5*B18</f>
        <v>287.5</v>
      </c>
      <c r="D18" s="3">
        <f>59*B18</f>
        <v>59</v>
      </c>
      <c r="E18" s="3">
        <f>1*B18</f>
        <v>1</v>
      </c>
      <c r="F18" s="3">
        <f>7.5*B18</f>
        <v>7.5</v>
      </c>
      <c r="G18" s="3">
        <f>862.5*B18</f>
        <v>862.5</v>
      </c>
      <c r="H18" s="3">
        <f>1*B18</f>
        <v>1</v>
      </c>
      <c r="I18" s="3"/>
    </row>
    <row r="19" spans="1:9" x14ac:dyDescent="0.25">
      <c r="A19" t="s">
        <v>26</v>
      </c>
      <c r="B19">
        <v>1</v>
      </c>
      <c r="C19" s="3">
        <f>170*B19</f>
        <v>170</v>
      </c>
      <c r="D19" s="3">
        <f>38*B19</f>
        <v>38</v>
      </c>
      <c r="E19" s="3">
        <f>0*B19</f>
        <v>0</v>
      </c>
      <c r="F19" s="3">
        <f>4*B19</f>
        <v>4</v>
      </c>
      <c r="G19" s="3">
        <f>0*B19</f>
        <v>0</v>
      </c>
      <c r="H19" s="3">
        <f>0*B19</f>
        <v>0</v>
      </c>
      <c r="I19" s="3"/>
    </row>
    <row r="20" spans="1:9" x14ac:dyDescent="0.25">
      <c r="A20" t="s">
        <v>21</v>
      </c>
      <c r="B20">
        <v>1</v>
      </c>
      <c r="C20" s="3">
        <f>100*B20</f>
        <v>100</v>
      </c>
      <c r="D20" s="3">
        <f>19*B20</f>
        <v>19</v>
      </c>
      <c r="E20" s="3">
        <f>0*B20</f>
        <v>0</v>
      </c>
      <c r="F20" s="3">
        <f>6*B20</f>
        <v>6</v>
      </c>
      <c r="G20" s="3">
        <f>280*B20</f>
        <v>280</v>
      </c>
      <c r="H20" s="3">
        <f>7*B20</f>
        <v>7</v>
      </c>
      <c r="I20" s="3"/>
    </row>
    <row r="21" spans="1:9" x14ac:dyDescent="0.25">
      <c r="A21" t="s">
        <v>32</v>
      </c>
      <c r="B21">
        <v>1</v>
      </c>
      <c r="C21" s="3">
        <f>210*B21</f>
        <v>210</v>
      </c>
      <c r="D21" s="3">
        <f>39*B21</f>
        <v>39</v>
      </c>
      <c r="E21" s="3">
        <f>2*B21</f>
        <v>2</v>
      </c>
      <c r="F21" s="3">
        <f>7*B21</f>
        <v>7</v>
      </c>
      <c r="G21" s="3">
        <f>450*B21</f>
        <v>450</v>
      </c>
      <c r="H21" s="3">
        <f>2*B21</f>
        <v>2</v>
      </c>
      <c r="I21" s="3"/>
    </row>
    <row r="22" spans="1:9" x14ac:dyDescent="0.25">
      <c r="A22" t="s">
        <v>22</v>
      </c>
      <c r="B22">
        <v>1</v>
      </c>
      <c r="C22" s="3">
        <f>110*B22</f>
        <v>110</v>
      </c>
      <c r="D22" s="3">
        <f>22*B22</f>
        <v>22</v>
      </c>
      <c r="E22" s="3">
        <f>0.5*B22</f>
        <v>0.5</v>
      </c>
      <c r="F22" s="3">
        <f>4*B22</f>
        <v>4</v>
      </c>
      <c r="G22" s="3">
        <f>790*B22</f>
        <v>790</v>
      </c>
      <c r="H22" s="3">
        <f>3*B22</f>
        <v>3</v>
      </c>
      <c r="I22" s="3"/>
    </row>
    <row r="23" spans="1:9" x14ac:dyDescent="0.25">
      <c r="A23" t="s">
        <v>23</v>
      </c>
      <c r="B23">
        <v>1</v>
      </c>
      <c r="C23" s="3">
        <f>110*B23</f>
        <v>110</v>
      </c>
      <c r="D23" s="3">
        <f>21*B23</f>
        <v>21</v>
      </c>
      <c r="E23" s="3">
        <f>1*B23</f>
        <v>1</v>
      </c>
      <c r="F23" s="3">
        <f>4*B23</f>
        <v>4</v>
      </c>
      <c r="G23" s="3">
        <f>390*B23</f>
        <v>390</v>
      </c>
      <c r="H23" s="3">
        <f>1*B23</f>
        <v>1</v>
      </c>
      <c r="I23" s="3"/>
    </row>
    <row r="24" spans="1:9" x14ac:dyDescent="0.25">
      <c r="A24" s="4" t="s">
        <v>24</v>
      </c>
      <c r="B24">
        <v>1</v>
      </c>
      <c r="C24" s="3">
        <f>70*B24</f>
        <v>70</v>
      </c>
      <c r="D24" s="3">
        <f>1*B24</f>
        <v>1</v>
      </c>
      <c r="E24" s="3">
        <f>1*B24</f>
        <v>1</v>
      </c>
      <c r="F24" s="3">
        <f>15*B24</f>
        <v>15</v>
      </c>
      <c r="G24" s="3">
        <f>360*B24</f>
        <v>360</v>
      </c>
      <c r="H24" s="3">
        <f>0*B24</f>
        <v>0</v>
      </c>
      <c r="I24" s="3"/>
    </row>
    <row r="25" spans="1:9" x14ac:dyDescent="0.25">
      <c r="A25" s="4" t="s">
        <v>31</v>
      </c>
      <c r="B25">
        <v>1</v>
      </c>
      <c r="C25" s="3">
        <f>70*B25</f>
        <v>70</v>
      </c>
      <c r="D25" s="3">
        <f>1*B25</f>
        <v>1</v>
      </c>
      <c r="E25" s="3">
        <f>2*B25</f>
        <v>2</v>
      </c>
      <c r="F25" s="3">
        <f>12*B25</f>
        <v>12</v>
      </c>
      <c r="G25" s="3">
        <f>410*B25</f>
        <v>410</v>
      </c>
      <c r="H25" s="3">
        <f>0*B25</f>
        <v>0</v>
      </c>
      <c r="I25" s="3"/>
    </row>
    <row r="26" spans="1:9" x14ac:dyDescent="0.25">
      <c r="A26" t="s">
        <v>25</v>
      </c>
      <c r="B26">
        <v>1</v>
      </c>
      <c r="C26" s="3">
        <f>380*B26</f>
        <v>380</v>
      </c>
      <c r="D26" s="3">
        <f>23*B26</f>
        <v>23</v>
      </c>
      <c r="E26" s="3">
        <f>24*B26</f>
        <v>24</v>
      </c>
      <c r="F26" s="3">
        <f>17*B26</f>
        <v>17</v>
      </c>
      <c r="G26" s="3">
        <f>970*B26</f>
        <v>970</v>
      </c>
      <c r="H26" s="3">
        <f>2*B26</f>
        <v>2</v>
      </c>
      <c r="I26" s="3"/>
    </row>
    <row r="27" spans="1:9" x14ac:dyDescent="0.25">
      <c r="A27" s="4" t="s">
        <v>110</v>
      </c>
      <c r="B27">
        <v>1</v>
      </c>
      <c r="C27" s="3">
        <f>170*B27</f>
        <v>170</v>
      </c>
      <c r="D27" s="3">
        <v>6</v>
      </c>
      <c r="E27" s="3">
        <f>15*B27</f>
        <v>15</v>
      </c>
      <c r="F27" s="3">
        <v>5</v>
      </c>
      <c r="G27" s="3">
        <v>80</v>
      </c>
      <c r="H27" s="3">
        <v>2</v>
      </c>
      <c r="I27" s="3"/>
    </row>
    <row r="28" spans="1:9" x14ac:dyDescent="0.25">
      <c r="A28" s="4" t="s">
        <v>111</v>
      </c>
      <c r="B28">
        <v>1</v>
      </c>
      <c r="C28" s="3">
        <v>110</v>
      </c>
      <c r="D28" s="3">
        <v>33</v>
      </c>
      <c r="E28" s="3">
        <f>0*B28</f>
        <v>0</v>
      </c>
      <c r="F28" s="3">
        <v>0</v>
      </c>
      <c r="G28" s="3">
        <v>0</v>
      </c>
      <c r="H28" s="3">
        <v>11</v>
      </c>
      <c r="I28" s="3"/>
    </row>
    <row r="29" spans="1:9" x14ac:dyDescent="0.25">
      <c r="A29" s="4" t="s">
        <v>33</v>
      </c>
      <c r="B29">
        <v>1</v>
      </c>
      <c r="C29" s="3">
        <f>80*B29</f>
        <v>80</v>
      </c>
      <c r="D29" s="3">
        <f>5*B29</f>
        <v>5</v>
      </c>
      <c r="E29" s="3">
        <f>1*B29</f>
        <v>1</v>
      </c>
      <c r="F29" s="3">
        <f>13*B29</f>
        <v>13</v>
      </c>
      <c r="G29" s="3">
        <f>490*B29</f>
        <v>490</v>
      </c>
      <c r="H29" s="3">
        <f>0*B29</f>
        <v>0</v>
      </c>
      <c r="I29" s="3"/>
    </row>
    <row r="30" spans="1:9" x14ac:dyDescent="0.25">
      <c r="A30" s="4" t="s">
        <v>29</v>
      </c>
      <c r="B30">
        <v>1</v>
      </c>
      <c r="C30" s="3">
        <f>518*B30</f>
        <v>518</v>
      </c>
      <c r="D30" s="3">
        <f>75*B30</f>
        <v>75</v>
      </c>
      <c r="E30" s="3">
        <f>4.2*B30</f>
        <v>4.2</v>
      </c>
      <c r="F30" s="3">
        <f>44.5*B30</f>
        <v>44.5</v>
      </c>
      <c r="G30" s="3">
        <f>235*B30</f>
        <v>235</v>
      </c>
      <c r="H30" s="3">
        <f>4.5*B30</f>
        <v>4.5</v>
      </c>
      <c r="I30" s="3"/>
    </row>
    <row r="31" spans="1:9" x14ac:dyDescent="0.25">
      <c r="A31" s="4" t="s">
        <v>34</v>
      </c>
      <c r="B31">
        <v>1</v>
      </c>
      <c r="C31" s="3">
        <f>120*B31</f>
        <v>120</v>
      </c>
      <c r="D31" s="3">
        <f>3*B31</f>
        <v>3</v>
      </c>
      <c r="E31" s="3">
        <f>0.5*B31</f>
        <v>0.5</v>
      </c>
      <c r="F31" s="3">
        <f>24*B31</f>
        <v>24</v>
      </c>
      <c r="G31" s="3">
        <f>190*B31</f>
        <v>190</v>
      </c>
      <c r="H31" s="3">
        <f>0*B31</f>
        <v>0</v>
      </c>
      <c r="I31" s="3"/>
    </row>
    <row r="32" spans="1:9" x14ac:dyDescent="0.25">
      <c r="A32" s="4"/>
      <c r="C32" s="3"/>
      <c r="D32" s="3"/>
      <c r="E32" s="3"/>
      <c r="F32" s="3"/>
      <c r="G32" s="3"/>
      <c r="H32" s="3"/>
      <c r="I32" s="3"/>
    </row>
    <row r="33" spans="1:9" x14ac:dyDescent="0.25">
      <c r="A33" s="4" t="s">
        <v>102</v>
      </c>
      <c r="C33" s="3"/>
      <c r="D33" s="3"/>
      <c r="E33" s="3"/>
      <c r="F33" s="3"/>
      <c r="G33" s="3"/>
      <c r="H33" s="3"/>
      <c r="I33" s="3"/>
    </row>
    <row r="34" spans="1:9" x14ac:dyDescent="0.25">
      <c r="A34" s="4"/>
      <c r="C34" s="3"/>
      <c r="D34" s="3"/>
      <c r="E34" s="3"/>
      <c r="F34" s="3"/>
      <c r="G34" s="3"/>
      <c r="H34" s="3"/>
      <c r="I34" s="3"/>
    </row>
    <row r="35" spans="1:9" ht="13" x14ac:dyDescent="0.3">
      <c r="A35" s="1" t="s">
        <v>81</v>
      </c>
      <c r="B35" s="1"/>
      <c r="C35" s="3"/>
      <c r="D35" s="3"/>
      <c r="E35" s="3"/>
      <c r="F35" s="3"/>
      <c r="H35" s="3"/>
      <c r="I35" s="3"/>
    </row>
    <row r="36" spans="1:9" x14ac:dyDescent="0.25">
      <c r="A36" t="s">
        <v>15</v>
      </c>
      <c r="B36">
        <v>2</v>
      </c>
      <c r="C36" s="3">
        <f>150*B36</f>
        <v>300</v>
      </c>
      <c r="D36" s="3">
        <f>31*B36</f>
        <v>62</v>
      </c>
      <c r="E36" s="3">
        <f>2*B36</f>
        <v>4</v>
      </c>
      <c r="F36" s="3">
        <f>3*B36</f>
        <v>6</v>
      </c>
      <c r="G36" s="3">
        <f>170*B36</f>
        <v>340</v>
      </c>
      <c r="H36" s="3">
        <f>3*B36</f>
        <v>6</v>
      </c>
      <c r="I36" s="3"/>
    </row>
    <row r="37" spans="1:9" x14ac:dyDescent="0.25">
      <c r="A37" t="s">
        <v>14</v>
      </c>
      <c r="B37">
        <v>2</v>
      </c>
      <c r="C37" s="3">
        <f>60*B37</f>
        <v>120</v>
      </c>
      <c r="D37" s="3">
        <f>2*B37</f>
        <v>4</v>
      </c>
      <c r="E37" s="3">
        <f>4*B37</f>
        <v>8</v>
      </c>
      <c r="F37" s="3">
        <f>4*B37</f>
        <v>8</v>
      </c>
      <c r="G37" s="3">
        <f>165*B37</f>
        <v>330</v>
      </c>
      <c r="H37" s="3">
        <f>0*B37</f>
        <v>0</v>
      </c>
      <c r="I37" s="3"/>
    </row>
    <row r="38" spans="1:9" x14ac:dyDescent="0.25">
      <c r="A38" s="4" t="s">
        <v>29</v>
      </c>
      <c r="B38">
        <v>1</v>
      </c>
      <c r="C38" s="3">
        <f>518*B38</f>
        <v>518</v>
      </c>
      <c r="D38" s="3">
        <f>75*B38</f>
        <v>75</v>
      </c>
      <c r="E38" s="3">
        <f>4.2*B38</f>
        <v>4.2</v>
      </c>
      <c r="F38" s="3">
        <f>44.5*B38</f>
        <v>44.5</v>
      </c>
      <c r="G38" s="3">
        <f>235*B38</f>
        <v>235</v>
      </c>
      <c r="H38" s="3">
        <f>4.5*B38</f>
        <v>4.5</v>
      </c>
      <c r="I38" s="3"/>
    </row>
    <row r="39" spans="1:9" x14ac:dyDescent="0.25">
      <c r="C39" s="3"/>
      <c r="D39" s="3"/>
      <c r="E39" s="3"/>
      <c r="F39" s="3"/>
      <c r="H39" s="3"/>
      <c r="I39" s="3"/>
    </row>
    <row r="40" spans="1:9" ht="13" x14ac:dyDescent="0.3">
      <c r="A40" s="1" t="s">
        <v>80</v>
      </c>
      <c r="B40" s="1"/>
      <c r="C40" s="3"/>
      <c r="D40" s="3"/>
      <c r="E40" s="3"/>
      <c r="F40" s="3"/>
      <c r="H40" s="3"/>
      <c r="I40" s="3"/>
    </row>
    <row r="41" spans="1:9" x14ac:dyDescent="0.25">
      <c r="A41" t="s">
        <v>16</v>
      </c>
      <c r="B41">
        <v>1</v>
      </c>
      <c r="C41" s="3">
        <f>250*B41</f>
        <v>250</v>
      </c>
      <c r="D41" s="3">
        <f>44*B41</f>
        <v>44</v>
      </c>
      <c r="E41" s="3">
        <f>5*B41</f>
        <v>5</v>
      </c>
      <c r="F41" s="3">
        <f>9*B41</f>
        <v>9</v>
      </c>
      <c r="G41" s="3">
        <f>180*B41</f>
        <v>180</v>
      </c>
      <c r="H41" s="3">
        <f>4*B41</f>
        <v>4</v>
      </c>
      <c r="I41" s="3"/>
    </row>
    <row r="42" spans="1:9" x14ac:dyDescent="0.25">
      <c r="A42" s="4" t="s">
        <v>24</v>
      </c>
      <c r="B42">
        <v>1</v>
      </c>
      <c r="C42" s="3">
        <f>70*B42</f>
        <v>70</v>
      </c>
      <c r="D42" s="3">
        <f>1*B42</f>
        <v>1</v>
      </c>
      <c r="E42" s="3">
        <f>1*B42</f>
        <v>1</v>
      </c>
      <c r="F42" s="3">
        <f>15*B42</f>
        <v>15</v>
      </c>
      <c r="G42" s="3">
        <f>360*B42</f>
        <v>360</v>
      </c>
      <c r="H42" s="3">
        <f>0*B42</f>
        <v>0</v>
      </c>
      <c r="I42" s="3"/>
    </row>
    <row r="43" spans="1:9" x14ac:dyDescent="0.25">
      <c r="A43" s="4" t="s">
        <v>110</v>
      </c>
      <c r="B43">
        <v>1</v>
      </c>
      <c r="C43" s="3">
        <f>170*B43</f>
        <v>170</v>
      </c>
      <c r="D43" s="3">
        <v>6</v>
      </c>
      <c r="E43" s="3">
        <f>15*B43</f>
        <v>15</v>
      </c>
      <c r="F43" s="3">
        <v>5</v>
      </c>
      <c r="G43" s="3">
        <v>80</v>
      </c>
      <c r="H43" s="3">
        <v>2</v>
      </c>
      <c r="I43" s="3"/>
    </row>
    <row r="44" spans="1:9" x14ac:dyDescent="0.25">
      <c r="A44" s="4" t="s">
        <v>111</v>
      </c>
      <c r="B44">
        <v>1</v>
      </c>
      <c r="C44" s="3">
        <v>110</v>
      </c>
      <c r="D44" s="3">
        <v>33</v>
      </c>
      <c r="E44" s="3">
        <f>0*B44</f>
        <v>0</v>
      </c>
      <c r="F44" s="3">
        <v>0</v>
      </c>
      <c r="G44" s="3">
        <v>0</v>
      </c>
      <c r="H44" s="3">
        <v>11</v>
      </c>
      <c r="I44" s="3"/>
    </row>
    <row r="45" spans="1:9" x14ac:dyDescent="0.25">
      <c r="A45" t="s">
        <v>44</v>
      </c>
      <c r="B45">
        <v>1</v>
      </c>
      <c r="C45" s="3">
        <f>120*B45</f>
        <v>120</v>
      </c>
      <c r="D45" s="3">
        <f>20*B45</f>
        <v>20</v>
      </c>
      <c r="E45" s="3">
        <f>4*B45</f>
        <v>4</v>
      </c>
      <c r="F45" s="3">
        <f>3*B45</f>
        <v>3</v>
      </c>
      <c r="G45" s="3">
        <f>135*B45</f>
        <v>135</v>
      </c>
      <c r="H45" s="3">
        <f>3*B45</f>
        <v>3</v>
      </c>
      <c r="I45" s="3"/>
    </row>
    <row r="46" spans="1:9" x14ac:dyDescent="0.25">
      <c r="A46" t="s">
        <v>37</v>
      </c>
      <c r="B46">
        <v>1</v>
      </c>
      <c r="C46" s="3">
        <f>150*B46</f>
        <v>150</v>
      </c>
      <c r="D46" s="3">
        <f>26*B46</f>
        <v>26</v>
      </c>
      <c r="E46" s="3">
        <f>3*B46</f>
        <v>3</v>
      </c>
      <c r="F46" s="3">
        <f>4*B46</f>
        <v>4</v>
      </c>
      <c r="G46" s="3">
        <f>410</f>
        <v>410</v>
      </c>
      <c r="H46" s="3">
        <f>1*B46</f>
        <v>1</v>
      </c>
      <c r="I46" s="3"/>
    </row>
    <row r="47" spans="1:9" x14ac:dyDescent="0.25">
      <c r="A47" t="s">
        <v>35</v>
      </c>
      <c r="B47">
        <v>2</v>
      </c>
      <c r="C47" s="3">
        <f>210*B47</f>
        <v>420</v>
      </c>
      <c r="D47" s="3">
        <f>6*B47</f>
        <v>12</v>
      </c>
      <c r="E47" s="3">
        <f>17*B47</f>
        <v>34</v>
      </c>
      <c r="F47" s="3">
        <f>8*B47</f>
        <v>16</v>
      </c>
      <c r="G47" s="3">
        <f>130*B47</f>
        <v>260</v>
      </c>
      <c r="H47" s="3">
        <f>2*B47</f>
        <v>4</v>
      </c>
      <c r="I47" s="3"/>
    </row>
    <row r="48" spans="1:9" x14ac:dyDescent="0.25">
      <c r="A48" t="s">
        <v>36</v>
      </c>
      <c r="B48">
        <v>2</v>
      </c>
      <c r="C48" s="3">
        <f>100*B48</f>
        <v>200</v>
      </c>
      <c r="D48" s="3">
        <f>13*B48</f>
        <v>26</v>
      </c>
      <c r="E48" s="3">
        <f>0*B48</f>
        <v>0</v>
      </c>
      <c r="F48" s="3">
        <f>0*B48</f>
        <v>0</v>
      </c>
      <c r="G48" s="3">
        <f>0*B48</f>
        <v>0</v>
      </c>
      <c r="H48" s="3">
        <f>0*B48</f>
        <v>0</v>
      </c>
      <c r="I48" s="3"/>
    </row>
    <row r="49" spans="1:9" x14ac:dyDescent="0.25">
      <c r="A49" s="4" t="s">
        <v>33</v>
      </c>
      <c r="B49">
        <v>2</v>
      </c>
      <c r="C49" s="3">
        <f>80*B49</f>
        <v>160</v>
      </c>
      <c r="D49" s="3">
        <f>5*B49</f>
        <v>10</v>
      </c>
      <c r="E49" s="3">
        <f>1*B49</f>
        <v>2</v>
      </c>
      <c r="F49" s="3">
        <f>13*B49</f>
        <v>26</v>
      </c>
      <c r="G49" s="3">
        <f>490*B49</f>
        <v>980</v>
      </c>
      <c r="H49" s="3">
        <f>0*B49</f>
        <v>0</v>
      </c>
      <c r="I49" s="3"/>
    </row>
    <row r="50" spans="1:9" x14ac:dyDescent="0.25">
      <c r="A50" t="s">
        <v>28</v>
      </c>
      <c r="B50">
        <v>1</v>
      </c>
      <c r="C50" s="3">
        <f>370*B50</f>
        <v>370</v>
      </c>
      <c r="D50" s="3">
        <f>54*B50</f>
        <v>54</v>
      </c>
      <c r="E50" s="3">
        <f>14*B50</f>
        <v>14</v>
      </c>
      <c r="F50" s="3">
        <f>8*B50</f>
        <v>8</v>
      </c>
      <c r="G50" s="3">
        <f>1520*B50</f>
        <v>1520</v>
      </c>
      <c r="H50" s="3">
        <f>2*B50</f>
        <v>2</v>
      </c>
      <c r="I50" s="3"/>
    </row>
    <row r="51" spans="1:9" x14ac:dyDescent="0.25">
      <c r="C51" s="3"/>
      <c r="D51" s="3"/>
      <c r="E51" s="3"/>
      <c r="F51" s="3"/>
      <c r="H51" s="3"/>
      <c r="I51" s="3"/>
    </row>
    <row r="52" spans="1:9" ht="13" x14ac:dyDescent="0.3">
      <c r="A52" s="1" t="s">
        <v>82</v>
      </c>
      <c r="B52" s="1"/>
      <c r="C52" s="3"/>
      <c r="D52" s="3"/>
      <c r="E52" s="3"/>
      <c r="F52" s="3"/>
      <c r="H52" s="3"/>
      <c r="I52" s="3"/>
    </row>
    <row r="53" spans="1:9" x14ac:dyDescent="0.25">
      <c r="A53" t="s">
        <v>19</v>
      </c>
      <c r="B53">
        <v>2</v>
      </c>
      <c r="C53" s="3">
        <f>210*B53</f>
        <v>420</v>
      </c>
      <c r="D53" s="3">
        <f>42*B53</f>
        <v>84</v>
      </c>
      <c r="E53" s="3">
        <f>1.5*B53</f>
        <v>3</v>
      </c>
      <c r="F53" s="3">
        <f>7*B53</f>
        <v>14</v>
      </c>
      <c r="G53" s="3">
        <f>640*B53</f>
        <v>1280</v>
      </c>
      <c r="H53" s="3">
        <f>2*B53</f>
        <v>4</v>
      </c>
      <c r="I53" s="3"/>
    </row>
    <row r="54" spans="1:9" x14ac:dyDescent="0.25">
      <c r="A54" s="4" t="s">
        <v>31</v>
      </c>
      <c r="B54">
        <v>2</v>
      </c>
      <c r="C54" s="3">
        <f>70*B54</f>
        <v>140</v>
      </c>
      <c r="D54" s="3">
        <f>1*B54</f>
        <v>2</v>
      </c>
      <c r="E54" s="3">
        <f>2*B54</f>
        <v>4</v>
      </c>
      <c r="F54" s="3">
        <f>12*B54</f>
        <v>24</v>
      </c>
      <c r="G54" s="3">
        <f>410*B54</f>
        <v>820</v>
      </c>
      <c r="H54" s="3">
        <f>0*B54</f>
        <v>0</v>
      </c>
      <c r="I54" s="3"/>
    </row>
    <row r="55" spans="1:9" x14ac:dyDescent="0.25">
      <c r="A55" t="s">
        <v>41</v>
      </c>
      <c r="B55">
        <v>1</v>
      </c>
      <c r="C55" s="3">
        <f>130*B55</f>
        <v>130</v>
      </c>
      <c r="D55" s="3">
        <f>19*B55</f>
        <v>19</v>
      </c>
      <c r="E55" s="3">
        <f>5*B55</f>
        <v>5</v>
      </c>
      <c r="F55" s="3">
        <f>3*B55</f>
        <v>3</v>
      </c>
      <c r="G55" s="3">
        <f>0*B55</f>
        <v>0</v>
      </c>
      <c r="H55" s="3">
        <f>3*B55</f>
        <v>3</v>
      </c>
      <c r="I55" s="3"/>
    </row>
    <row r="56" spans="1:9" x14ac:dyDescent="0.25">
      <c r="A56" s="4" t="s">
        <v>34</v>
      </c>
      <c r="B56">
        <v>1</v>
      </c>
      <c r="C56" s="3">
        <f>120*B56</f>
        <v>120</v>
      </c>
      <c r="D56" s="3">
        <f>3*B56</f>
        <v>3</v>
      </c>
      <c r="E56" s="3">
        <f>0.5*B56</f>
        <v>0.5</v>
      </c>
      <c r="F56" s="3">
        <f>24*B56</f>
        <v>24</v>
      </c>
      <c r="G56" s="3">
        <f>190*B56</f>
        <v>190</v>
      </c>
      <c r="H56" s="3">
        <f>0*B56</f>
        <v>0</v>
      </c>
      <c r="I56" s="3"/>
    </row>
    <row r="57" spans="1:9" x14ac:dyDescent="0.25">
      <c r="C57" s="3"/>
      <c r="D57" s="3"/>
      <c r="E57" s="3"/>
      <c r="F57" s="3"/>
      <c r="H57" s="3"/>
      <c r="I57" s="3"/>
    </row>
    <row r="58" spans="1:9" ht="13" x14ac:dyDescent="0.3">
      <c r="A58" s="2" t="s">
        <v>11</v>
      </c>
      <c r="B58" s="2"/>
      <c r="C58" s="1">
        <f>SUM(C36:C57)</f>
        <v>3768</v>
      </c>
      <c r="D58" s="1">
        <f>SUM(D28:D57)</f>
        <v>597</v>
      </c>
      <c r="E58" s="1">
        <f>SUM(E36:E57)</f>
        <v>106.7</v>
      </c>
      <c r="F58" s="1">
        <f>SUM(F36:F57)</f>
        <v>209.5</v>
      </c>
      <c r="G58" s="2">
        <f>SUM(G36:G57)</f>
        <v>7120</v>
      </c>
      <c r="H58" s="1">
        <f>SUM(H36:H57)</f>
        <v>44.5</v>
      </c>
      <c r="I58" s="3"/>
    </row>
    <row r="59" spans="1:9" x14ac:dyDescent="0.25">
      <c r="A59" t="s">
        <v>79</v>
      </c>
      <c r="C59" s="7">
        <f>Calculator!B5</f>
        <v>3730.4988636363632</v>
      </c>
      <c r="D59" s="7">
        <f>Calculator!C5</f>
        <v>457.49971590909081</v>
      </c>
      <c r="E59" s="7">
        <f>Calculator!D5</f>
        <v>94.5</v>
      </c>
      <c r="F59" s="7">
        <f>Calculator!E5</f>
        <v>262.5</v>
      </c>
      <c r="G59" s="3" t="s">
        <v>112</v>
      </c>
      <c r="H59" s="3">
        <v>38</v>
      </c>
      <c r="I59" s="3"/>
    </row>
    <row r="60" spans="1:9" x14ac:dyDescent="0.25">
      <c r="C60" s="3"/>
      <c r="D60" s="3"/>
      <c r="E60" s="3"/>
      <c r="F60" s="3"/>
      <c r="H60" s="3"/>
      <c r="I60" s="3"/>
    </row>
    <row r="61" spans="1:9" x14ac:dyDescent="0.25">
      <c r="C61" s="3"/>
      <c r="D61" s="3"/>
      <c r="E61" s="3"/>
      <c r="F61" s="3"/>
      <c r="H61" s="3"/>
      <c r="I61" s="3"/>
    </row>
    <row r="62" spans="1:9" x14ac:dyDescent="0.25">
      <c r="C62" s="3"/>
      <c r="D62" s="3"/>
      <c r="E62" s="3"/>
      <c r="F62" s="3"/>
      <c r="H62" s="3"/>
      <c r="I62" s="3"/>
    </row>
    <row r="63" spans="1:9" x14ac:dyDescent="0.25">
      <c r="A63" s="4"/>
      <c r="B63" s="4"/>
      <c r="C63" s="3"/>
      <c r="D63" s="3"/>
      <c r="E63" s="3"/>
      <c r="F63" s="3"/>
      <c r="H63" s="3"/>
      <c r="I63" s="3"/>
    </row>
    <row r="64" spans="1:9" x14ac:dyDescent="0.25">
      <c r="C64" s="3"/>
      <c r="D64" s="3"/>
      <c r="E64" s="3"/>
      <c r="F64" s="3"/>
      <c r="H64" s="3"/>
      <c r="I64" s="3"/>
    </row>
    <row r="65" spans="1:9" x14ac:dyDescent="0.25">
      <c r="C65" s="3"/>
      <c r="D65" s="3"/>
      <c r="E65" s="3"/>
      <c r="F65" s="3"/>
      <c r="H65" s="3"/>
      <c r="I65" s="3"/>
    </row>
    <row r="66" spans="1:9" x14ac:dyDescent="0.25">
      <c r="C66" s="3"/>
      <c r="D66" s="3"/>
      <c r="E66" s="3"/>
      <c r="F66" s="3"/>
      <c r="H66" s="3"/>
      <c r="I66" s="3"/>
    </row>
    <row r="67" spans="1:9" x14ac:dyDescent="0.25">
      <c r="A67" s="4"/>
      <c r="B67" s="4"/>
      <c r="D67" s="3"/>
      <c r="E67" s="3"/>
      <c r="F67" s="3"/>
      <c r="H67" s="3"/>
      <c r="I67" s="3"/>
    </row>
    <row r="68" spans="1:9" x14ac:dyDescent="0.25">
      <c r="C68" s="3"/>
      <c r="D68" s="3"/>
      <c r="E68" s="3"/>
      <c r="F68" s="3"/>
    </row>
    <row r="69" spans="1:9" x14ac:dyDescent="0.25">
      <c r="C69" s="3"/>
      <c r="D69" s="3"/>
      <c r="E69" s="3"/>
      <c r="F69" s="3"/>
    </row>
    <row r="70" spans="1:9" x14ac:dyDescent="0.25">
      <c r="C70" s="3"/>
      <c r="D70" s="3"/>
      <c r="E70" s="3"/>
      <c r="F70" s="3"/>
    </row>
    <row r="71" spans="1:9" x14ac:dyDescent="0.25">
      <c r="A71" s="4"/>
      <c r="B71" s="4"/>
      <c r="C71" s="3"/>
      <c r="D71" s="3"/>
      <c r="E71" s="3"/>
      <c r="F71" s="3"/>
    </row>
    <row r="75" spans="1:9" x14ac:dyDescent="0.25">
      <c r="A75" s="4"/>
      <c r="B75" s="4"/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scale="56" orientation="portrait" useFirstPageNumber="1" r:id="rId1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E6A5-65A7-4AD4-815C-85DF41E3DFF4}">
  <dimension ref="A1:B20"/>
  <sheetViews>
    <sheetView workbookViewId="0">
      <selection activeCell="F24" sqref="F24"/>
    </sheetView>
  </sheetViews>
  <sheetFormatPr defaultRowHeight="12.5" x14ac:dyDescent="0.25"/>
  <cols>
    <col min="1" max="1" width="30.453125" customWidth="1"/>
    <col min="2" max="2" width="32.90625" customWidth="1"/>
  </cols>
  <sheetData>
    <row r="1" spans="1:2" x14ac:dyDescent="0.25">
      <c r="A1" s="15" t="s">
        <v>116</v>
      </c>
      <c r="B1" s="15"/>
    </row>
    <row r="2" spans="1:2" ht="13" x14ac:dyDescent="0.3">
      <c r="A2" s="2" t="s">
        <v>48</v>
      </c>
      <c r="B2" s="2" t="s">
        <v>104</v>
      </c>
    </row>
    <row r="3" spans="1:2" ht="13" x14ac:dyDescent="0.3">
      <c r="A3" s="2" t="s">
        <v>126</v>
      </c>
      <c r="B3" t="s">
        <v>46</v>
      </c>
    </row>
    <row r="4" spans="1:2" ht="13" x14ac:dyDescent="0.3">
      <c r="A4" s="2" t="s">
        <v>52</v>
      </c>
      <c r="B4" t="s">
        <v>47</v>
      </c>
    </row>
    <row r="5" spans="1:2" ht="13" x14ac:dyDescent="0.3">
      <c r="A5" s="2" t="s">
        <v>94</v>
      </c>
      <c r="B5" s="2" t="s">
        <v>51</v>
      </c>
    </row>
    <row r="6" spans="1:2" ht="13" x14ac:dyDescent="0.3">
      <c r="A6" s="2" t="s">
        <v>127</v>
      </c>
      <c r="B6" s="2" t="s">
        <v>114</v>
      </c>
    </row>
    <row r="7" spans="1:2" ht="13" x14ac:dyDescent="0.3">
      <c r="A7" s="2" t="s">
        <v>57</v>
      </c>
      <c r="B7" s="2" t="s">
        <v>122</v>
      </c>
    </row>
    <row r="8" spans="1:2" ht="13" x14ac:dyDescent="0.3">
      <c r="A8" s="2" t="s">
        <v>60</v>
      </c>
      <c r="B8" s="2" t="s">
        <v>101</v>
      </c>
    </row>
    <row r="9" spans="1:2" ht="13" x14ac:dyDescent="0.3">
      <c r="A9" s="2" t="s">
        <v>84</v>
      </c>
      <c r="B9" t="s">
        <v>123</v>
      </c>
    </row>
    <row r="10" spans="1:2" ht="13" x14ac:dyDescent="0.3">
      <c r="A10" s="2" t="s">
        <v>86</v>
      </c>
      <c r="B10" s="2" t="s">
        <v>115</v>
      </c>
    </row>
    <row r="11" spans="1:2" ht="13" x14ac:dyDescent="0.3">
      <c r="A11" s="2" t="s">
        <v>85</v>
      </c>
      <c r="B11" s="2" t="s">
        <v>70</v>
      </c>
    </row>
    <row r="12" spans="1:2" ht="13" x14ac:dyDescent="0.3">
      <c r="A12" s="2" t="s">
        <v>91</v>
      </c>
      <c r="B12" s="2" t="s">
        <v>124</v>
      </c>
    </row>
    <row r="13" spans="1:2" ht="13" x14ac:dyDescent="0.3">
      <c r="A13" s="2" t="s">
        <v>69</v>
      </c>
      <c r="B13" s="2" t="s">
        <v>95</v>
      </c>
    </row>
    <row r="14" spans="1:2" ht="13" x14ac:dyDescent="0.3">
      <c r="A14" s="2" t="s">
        <v>125</v>
      </c>
      <c r="B14" s="2" t="s">
        <v>96</v>
      </c>
    </row>
    <row r="15" spans="1:2" ht="13" x14ac:dyDescent="0.3">
      <c r="A15" s="2" t="s">
        <v>121</v>
      </c>
      <c r="B15" s="2" t="s">
        <v>72</v>
      </c>
    </row>
    <row r="17" spans="1:2" ht="13" x14ac:dyDescent="0.3">
      <c r="A17" s="2"/>
    </row>
    <row r="20" spans="1:2" ht="13" x14ac:dyDescent="0.3">
      <c r="B20" s="2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C38A-2F5C-4320-AF8D-789896510A40}">
  <dimension ref="A1:B20"/>
  <sheetViews>
    <sheetView workbookViewId="0">
      <selection activeCell="B10" sqref="B10"/>
    </sheetView>
  </sheetViews>
  <sheetFormatPr defaultRowHeight="12.5" x14ac:dyDescent="0.25"/>
  <cols>
    <col min="1" max="1" width="32.6328125" bestFit="1" customWidth="1"/>
    <col min="2" max="2" width="32.90625" customWidth="1"/>
  </cols>
  <sheetData>
    <row r="1" spans="1:2" x14ac:dyDescent="0.25">
      <c r="A1" s="12" t="s">
        <v>117</v>
      </c>
    </row>
    <row r="2" spans="1:2" ht="13" x14ac:dyDescent="0.3">
      <c r="A2" s="2" t="s">
        <v>52</v>
      </c>
    </row>
    <row r="3" spans="1:2" ht="13" x14ac:dyDescent="0.3">
      <c r="A3" s="2" t="s">
        <v>94</v>
      </c>
    </row>
    <row r="4" spans="1:2" ht="13" x14ac:dyDescent="0.3">
      <c r="A4" s="2" t="s">
        <v>84</v>
      </c>
    </row>
    <row r="5" spans="1:2" ht="13" x14ac:dyDescent="0.3">
      <c r="A5" s="2" t="s">
        <v>118</v>
      </c>
    </row>
    <row r="6" spans="1:2" ht="13" x14ac:dyDescent="0.3">
      <c r="A6" s="2" t="s">
        <v>91</v>
      </c>
    </row>
    <row r="7" spans="1:2" ht="13" x14ac:dyDescent="0.3">
      <c r="A7" s="2" t="s">
        <v>119</v>
      </c>
    </row>
    <row r="8" spans="1:2" ht="13" x14ac:dyDescent="0.3">
      <c r="A8" s="2" t="s">
        <v>121</v>
      </c>
    </row>
    <row r="9" spans="1:2" ht="13" x14ac:dyDescent="0.3">
      <c r="A9" s="2" t="s">
        <v>113</v>
      </c>
    </row>
    <row r="10" spans="1:2" ht="13" x14ac:dyDescent="0.3">
      <c r="A10" s="2" t="s">
        <v>104</v>
      </c>
    </row>
    <row r="11" spans="1:2" ht="13" x14ac:dyDescent="0.3">
      <c r="A11" s="2" t="s">
        <v>51</v>
      </c>
    </row>
    <row r="12" spans="1:2" ht="13" x14ac:dyDescent="0.3">
      <c r="A12" s="2" t="s">
        <v>114</v>
      </c>
    </row>
    <row r="13" spans="1:2" ht="13" x14ac:dyDescent="0.3">
      <c r="A13" s="2" t="s">
        <v>101</v>
      </c>
      <c r="B13" s="2"/>
    </row>
    <row r="14" spans="1:2" ht="13" x14ac:dyDescent="0.3">
      <c r="A14" s="2" t="s">
        <v>120</v>
      </c>
      <c r="B14" s="2"/>
    </row>
    <row r="15" spans="1:2" ht="13" x14ac:dyDescent="0.3">
      <c r="A15" s="2" t="s">
        <v>115</v>
      </c>
      <c r="B15" s="2"/>
    </row>
    <row r="16" spans="1:2" ht="13" x14ac:dyDescent="0.3">
      <c r="A16" s="2" t="s">
        <v>70</v>
      </c>
    </row>
    <row r="17" spans="1:2" ht="13" x14ac:dyDescent="0.3">
      <c r="A17" s="2"/>
    </row>
    <row r="20" spans="1:2" ht="13" x14ac:dyDescent="0.3">
      <c r="B2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Bag</vt:lpstr>
      <vt:lpstr>Gear</vt:lpstr>
      <vt:lpstr>Calculator</vt:lpstr>
      <vt:lpstr>Day 1</vt:lpstr>
      <vt:lpstr>Daytrip</vt:lpstr>
      <vt:lpstr>Bikepack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Mason</dc:creator>
  <cp:lastModifiedBy>Justin Mason</cp:lastModifiedBy>
  <cp:lastPrinted>2023-08-01T17:25:02Z</cp:lastPrinted>
  <dcterms:created xsi:type="dcterms:W3CDTF">2017-01-02T23:32:42Z</dcterms:created>
  <dcterms:modified xsi:type="dcterms:W3CDTF">2024-05-30T01:22:45Z</dcterms:modified>
</cp:coreProperties>
</file>